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samsung\Documents\church\"/>
    </mc:Choice>
  </mc:AlternateContent>
  <xr:revisionPtr revIDLastSave="0" documentId="8_{30DCF93E-76AE-4024-9D46-08A0BD142B7F}" xr6:coauthVersionLast="43" xr6:coauthVersionMax="43" xr10:uidLastSave="{00000000-0000-0000-0000-000000000000}"/>
  <bookViews>
    <workbookView xWindow="-120" yWindow="-120" windowWidth="20730" windowHeight="11160" xr2:uid="{00000000-000D-0000-FFFF-FFFF00000000}"/>
  </bookViews>
  <sheets>
    <sheet name="Introduction" sheetId="10" r:id="rId1"/>
    <sheet name="Overview" sheetId="1" r:id="rId2"/>
    <sheet name="Worship and prayer" sheetId="2" r:id="rId3"/>
    <sheet name="Home" sheetId="3" r:id="rId4"/>
    <sheet name="Garden" sheetId="4" r:id="rId5"/>
    <sheet name="Travel" sheetId="5" r:id="rId6"/>
    <sheet name="Food" sheetId="6" r:id="rId7"/>
    <sheet name="Possessions" sheetId="7" r:id="rId8"/>
    <sheet name="Community &amp; Global Engagement" sheetId="8" r:id="rId9"/>
    <sheet name="References" sheetId="9" state="hidden" r:id="rId10"/>
  </sheets>
  <definedNames>
    <definedName name="ABCD">References!$B$47:$B$52</definedName>
    <definedName name="All_of_us__whenever_possible">References!$B$250:$B$259</definedName>
    <definedName name="All_of_us_whenever_possible">References!$B$250:$B$259</definedName>
    <definedName name="Allsomenone">References!$B$79:$B$81</definedName>
    <definedName name="Alwaysmostlyno">References!$B$36:$B$40</definedName>
    <definedName name="Alwaysmostlysometimes">References!$B$36:$B$40</definedName>
    <definedName name="bottled_water">References!$B$278:$B$282</definedName>
    <definedName name="car_fuel">References!$B$169:$B$174</definedName>
    <definedName name="car_fulel">References!$B$169:$B$174</definedName>
    <definedName name="car_power">References!$B$169:$B$174</definedName>
    <definedName name="car_share">References!$B$191:$B$196</definedName>
    <definedName name="car_use">References!$B$250:$B$260</definedName>
    <definedName name="carchoice">References!$B$158:$B$160</definedName>
    <definedName name="carpower">References!$B$169:$B$172</definedName>
    <definedName name="carshare">References!$B$191:$B$195</definedName>
    <definedName name="carsperperson">References!$B$152:$B$156</definedName>
    <definedName name="cat_food">References!$B$241:$B$243</definedName>
    <definedName name="Compost">References!$B$128:$B$130</definedName>
    <definedName name="Diet">References!$B$20:$B$26</definedName>
    <definedName name="Diet_proportions">References!$B$263:$B$273</definedName>
    <definedName name="doubleglazing">References!$B$64:$B$69</definedName>
    <definedName name="engage">References!$B$124:$B$126</definedName>
    <definedName name="engaging">References!$B$120:$B$122</definedName>
    <definedName name="Everyyear">References!$B$102:$B$105</definedName>
    <definedName name="flight_class">References!$B$215:$B$219</definedName>
    <definedName name="flightclass">References!$B$215:$B$218</definedName>
    <definedName name="Flights_binary">References!$B$199:$B$200</definedName>
    <definedName name="foodwaste">References!$B$115:$B$118</definedName>
    <definedName name="Frequency">References!$B$5:$B$9</definedName>
    <definedName name="Grow_your_own">References!$B$13:$B$18</definedName>
    <definedName name="HowOften">References!$B$5:$B$10</definedName>
    <definedName name="Insulation">References!$B$54:$B$61</definedName>
    <definedName name="lamb">References!$B$29:$B$34</definedName>
    <definedName name="lights">References!$B$71:$B$77</definedName>
    <definedName name="mobiles">References!$B$102:$B$106</definedName>
    <definedName name="money">References!$B$142:$B$145</definedName>
    <definedName name="Offsetting">References!$B$222:$B$225</definedName>
    <definedName name="offsetting_revised">References!$B$228:$B$231</definedName>
    <definedName name="Offsetting2">References!$B$229:$B$231</definedName>
    <definedName name="Pension">References!$B$147:$B$149</definedName>
    <definedName name="pet_food">References!$B$234:$B$238</definedName>
    <definedName name="Pond">References!$B$246:$B$248</definedName>
    <definedName name="Recycle">References!$B$108:$B$113</definedName>
    <definedName name="recycling">References!$B$108:$B$112</definedName>
    <definedName name="Regularly">References!$B$138:$B$140</definedName>
    <definedName name="Sparerooms">References!$B$93:$B$95</definedName>
    <definedName name="thermostat">References!$B$87:$B$91</definedName>
    <definedName name="volunteer">References!$B$133:$B$136</definedName>
    <definedName name="volunteering">References!$B$132:$B$136</definedName>
    <definedName name="walls">References!$B$54:$B$62</definedName>
    <definedName name="washing">References!$B$36:$B$39</definedName>
    <definedName name="Wheneverpossible">References!$B$97:$B$100</definedName>
    <definedName name="YesNo">References!$B$2:$B$3</definedName>
    <definedName name="Yesnona">References!$B$147:$B$149</definedName>
    <definedName name="Yessomenona">References!$B$42:$B$45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4" l="1"/>
  <c r="D8" i="5" l="1"/>
  <c r="D20" i="6"/>
  <c r="F20" i="5" l="1"/>
  <c r="F16" i="5"/>
  <c r="D38" i="4" l="1"/>
  <c r="D4" i="5"/>
  <c r="E4" i="5" s="1"/>
  <c r="G263" i="9" l="1"/>
  <c r="G264" i="9"/>
  <c r="G265" i="9"/>
  <c r="G266" i="9"/>
  <c r="G267" i="9"/>
  <c r="G268" i="9"/>
  <c r="G269" i="9"/>
  <c r="G270" i="9"/>
  <c r="G271" i="9"/>
  <c r="G272" i="9"/>
  <c r="F263" i="9"/>
  <c r="F264" i="9"/>
  <c r="F265" i="9"/>
  <c r="F266" i="9"/>
  <c r="F267" i="9"/>
  <c r="F268" i="9"/>
  <c r="F269" i="9"/>
  <c r="F270" i="9"/>
  <c r="F271" i="9"/>
  <c r="F272" i="9"/>
  <c r="E263" i="9"/>
  <c r="E264" i="9"/>
  <c r="E265" i="9"/>
  <c r="E266" i="9"/>
  <c r="E267" i="9"/>
  <c r="E268" i="9"/>
  <c r="E269" i="9"/>
  <c r="E270" i="9"/>
  <c r="E271" i="9"/>
  <c r="E272" i="9"/>
  <c r="D263" i="9"/>
  <c r="D264" i="9"/>
  <c r="D265" i="9"/>
  <c r="D266" i="9"/>
  <c r="E5" i="6" s="1"/>
  <c r="D267" i="9"/>
  <c r="D268" i="9"/>
  <c r="D269" i="9"/>
  <c r="D270" i="9"/>
  <c r="D271" i="9"/>
  <c r="D272" i="9"/>
  <c r="D273" i="9"/>
  <c r="I275" i="9"/>
  <c r="G273" i="9"/>
  <c r="F273" i="9"/>
  <c r="I273" i="9" s="1"/>
  <c r="D15" i="6"/>
  <c r="D16" i="6"/>
  <c r="E273" i="9"/>
  <c r="J273" i="9"/>
  <c r="D14" i="6"/>
  <c r="D10" i="6"/>
  <c r="F12" i="6"/>
  <c r="F27" i="6" s="1"/>
  <c r="D12" i="6"/>
  <c r="C9" i="6"/>
  <c r="E8" i="6"/>
  <c r="E7" i="6"/>
  <c r="E6" i="6"/>
  <c r="E4" i="6"/>
  <c r="D9" i="6" l="1"/>
  <c r="F17" i="5"/>
  <c r="G9" i="5"/>
  <c r="D5" i="5"/>
  <c r="D8" i="3" l="1"/>
  <c r="D16" i="3"/>
  <c r="D9" i="3"/>
  <c r="D18" i="5" l="1"/>
  <c r="E26" i="6"/>
  <c r="D25" i="6"/>
  <c r="E24" i="6"/>
  <c r="D22" i="6"/>
  <c r="D21" i="6"/>
  <c r="D23" i="6"/>
  <c r="F19" i="5"/>
  <c r="D19" i="5" s="1"/>
  <c r="D20" i="5" l="1"/>
  <c r="D26" i="6"/>
  <c r="D24" i="6"/>
  <c r="G15" i="5" l="1"/>
  <c r="F15" i="5"/>
  <c r="D13" i="5"/>
  <c r="E11" i="5"/>
  <c r="E10" i="5"/>
  <c r="H15" i="5" l="1"/>
  <c r="D15" i="5" s="1"/>
  <c r="E12" i="5"/>
  <c r="D12" i="5"/>
  <c r="F11" i="5"/>
  <c r="H11" i="5" s="1"/>
  <c r="D11" i="5" s="1"/>
  <c r="F10" i="5"/>
  <c r="F9" i="5"/>
  <c r="E8" i="5"/>
  <c r="F6" i="5"/>
  <c r="D6" i="5" s="1"/>
  <c r="E21" i="5" l="1"/>
  <c r="D16" i="5"/>
  <c r="H10" i="5"/>
  <c r="D10" i="5" s="1"/>
  <c r="H9" i="5"/>
  <c r="D9" i="5" s="1"/>
  <c r="D7" i="5"/>
  <c r="F25" i="5" l="1"/>
  <c r="F24" i="5"/>
  <c r="F23" i="5"/>
  <c r="G17" i="5"/>
  <c r="D17" i="5" s="1"/>
  <c r="D22" i="5" s="1"/>
  <c r="D19" i="6"/>
  <c r="E15" i="8"/>
  <c r="E16" i="8" s="1"/>
  <c r="E11" i="3"/>
  <c r="D15" i="8"/>
  <c r="D14" i="8"/>
  <c r="D13" i="8"/>
  <c r="D12" i="8"/>
  <c r="D11" i="8"/>
  <c r="D10" i="8"/>
  <c r="D9" i="8"/>
  <c r="D8" i="8"/>
  <c r="D4" i="8"/>
  <c r="D7" i="8"/>
  <c r="D6" i="8"/>
  <c r="D5" i="8"/>
  <c r="E19" i="8" l="1"/>
  <c r="E18" i="8"/>
  <c r="E20" i="8"/>
  <c r="D23" i="5"/>
  <c r="B9" i="1" s="1"/>
  <c r="D17" i="8"/>
  <c r="D22" i="7"/>
  <c r="D21" i="7"/>
  <c r="D20" i="7"/>
  <c r="D19" i="7"/>
  <c r="D18" i="7"/>
  <c r="D18" i="6"/>
  <c r="D17" i="7"/>
  <c r="D16" i="7"/>
  <c r="D15" i="7"/>
  <c r="D14" i="7"/>
  <c r="D13" i="7"/>
  <c r="D12" i="7"/>
  <c r="D11" i="7"/>
  <c r="D10" i="7"/>
  <c r="D9" i="7"/>
  <c r="D8" i="7"/>
  <c r="D7" i="7"/>
  <c r="D6" i="7"/>
  <c r="D5" i="7"/>
  <c r="D4" i="7"/>
  <c r="D18" i="8" l="1"/>
  <c r="B12" i="1" s="1"/>
  <c r="D23" i="7"/>
  <c r="D24" i="7" s="1"/>
  <c r="E13" i="3"/>
  <c r="E10" i="3"/>
  <c r="D22" i="3"/>
  <c r="D21" i="3"/>
  <c r="D20" i="3"/>
  <c r="D19" i="3"/>
  <c r="D18" i="3"/>
  <c r="D17" i="3"/>
  <c r="D15" i="3"/>
  <c r="D14" i="3"/>
  <c r="D13" i="3"/>
  <c r="D12" i="3"/>
  <c r="D11" i="3"/>
  <c r="D10" i="3"/>
  <c r="D7" i="3"/>
  <c r="D6" i="3"/>
  <c r="D5" i="3"/>
  <c r="D4" i="3"/>
  <c r="B11" i="1" l="1"/>
  <c r="E23" i="3"/>
  <c r="D24" i="3"/>
  <c r="D7" i="4"/>
  <c r="D8" i="2"/>
  <c r="D6" i="2"/>
  <c r="D4" i="2"/>
  <c r="D17" i="6"/>
  <c r="D13" i="6"/>
  <c r="D11" i="6"/>
  <c r="D25" i="3" l="1"/>
  <c r="B7" i="1" s="1"/>
  <c r="G26" i="3"/>
  <c r="G25" i="3"/>
  <c r="G24" i="3"/>
  <c r="D27" i="6" l="1"/>
  <c r="D28" i="6" s="1"/>
  <c r="D5" i="2"/>
  <c r="D7" i="2"/>
  <c r="C8" i="1"/>
  <c r="D8" i="4"/>
  <c r="D9" i="4"/>
  <c r="D10" i="4"/>
  <c r="D11" i="4"/>
  <c r="D12" i="4"/>
  <c r="D13" i="4"/>
  <c r="D39" i="4"/>
  <c r="D40" i="4"/>
  <c r="D41" i="4"/>
  <c r="D42" i="4"/>
  <c r="D43" i="4"/>
  <c r="D31" i="4"/>
  <c r="D32" i="4"/>
  <c r="D33" i="4"/>
  <c r="D34" i="4"/>
  <c r="D18" i="4"/>
  <c r="D19" i="4"/>
  <c r="D20" i="4"/>
  <c r="D21" i="4"/>
  <c r="D22" i="4"/>
  <c r="D23" i="4"/>
  <c r="D24" i="4"/>
  <c r="D25" i="4"/>
  <c r="D26" i="4"/>
  <c r="D17" i="4"/>
  <c r="B10" i="1" l="1"/>
  <c r="D9" i="2"/>
  <c r="D45" i="4"/>
  <c r="D46" i="4" s="1"/>
  <c r="D10" i="2" l="1"/>
  <c r="B6" i="1" s="1"/>
  <c r="B8" i="1"/>
  <c r="B14" i="1" l="1"/>
</calcChain>
</file>

<file path=xl/sharedStrings.xml><?xml version="1.0" encoding="utf-8"?>
<sst xmlns="http://schemas.openxmlformats.org/spreadsheetml/2006/main" count="515" uniqueCount="389">
  <si>
    <t>Worship &amp; Prayer</t>
  </si>
  <si>
    <t>Home</t>
  </si>
  <si>
    <t>Garden</t>
  </si>
  <si>
    <t>Travel</t>
  </si>
  <si>
    <t>Food</t>
  </si>
  <si>
    <t>Date</t>
  </si>
  <si>
    <t>Overall award level</t>
  </si>
  <si>
    <t>Household name:</t>
  </si>
  <si>
    <t>Question</t>
  </si>
  <si>
    <t>Answer</t>
  </si>
  <si>
    <t xml:space="preserve">No. </t>
  </si>
  <si>
    <t>Points</t>
  </si>
  <si>
    <t>Do you have a garden?</t>
  </si>
  <si>
    <t>Yes</t>
  </si>
  <si>
    <t>No</t>
  </si>
  <si>
    <t>If no, skip the rest of this worksheet and go on to Travel</t>
  </si>
  <si>
    <t>Do you have any of the following food features in your garden?</t>
  </si>
  <si>
    <t>Bird feeding station</t>
  </si>
  <si>
    <t>Nectar rich flowers</t>
  </si>
  <si>
    <t>Fruit trees or berry bearing shrubs</t>
  </si>
  <si>
    <t>Herb patch/pots</t>
  </si>
  <si>
    <t>Do you put out food for other wildlife in your garden? (eg. hedgehogs, badgers, foxes)</t>
  </si>
  <si>
    <t>Shelter</t>
  </si>
  <si>
    <t>Do you have any of these shelter features in your garden?</t>
  </si>
  <si>
    <t>Dead wood / Log pile / Stone pile</t>
  </si>
  <si>
    <t>Climbing plants on wall/trellis (eg. Ivy, Honeysuckle, Clematis)</t>
  </si>
  <si>
    <t>Mixed native hedge (eg. Oak, Hazel, Hawthorn, Blackthorn)</t>
  </si>
  <si>
    <t>Mature trees</t>
  </si>
  <si>
    <t>Some lawn left to grow long</t>
  </si>
  <si>
    <t>Mini wild flower meadow</t>
  </si>
  <si>
    <t>Do you have any of these water features in your garden?</t>
  </si>
  <si>
    <t>Water</t>
  </si>
  <si>
    <t>Bog / permanently wet area</t>
  </si>
  <si>
    <t>Bucket pond</t>
  </si>
  <si>
    <t>Drought-resistant plants</t>
  </si>
  <si>
    <t>Bird bath</t>
  </si>
  <si>
    <t>No use of pesticide &amp; slug pellets</t>
  </si>
  <si>
    <t>Avoid chemical weed killers</t>
  </si>
  <si>
    <t>Compost bin, heap or wormery</t>
  </si>
  <si>
    <t>Use peat free compost</t>
  </si>
  <si>
    <t>Holes or gaps in the bottom of fences and walls to allow hedgehogs through</t>
  </si>
  <si>
    <t>Management features</t>
  </si>
  <si>
    <t>Do you have any of these management features in your garden?</t>
  </si>
  <si>
    <t>Bird box(es)</t>
  </si>
  <si>
    <t>Bat box(es)</t>
  </si>
  <si>
    <t>Hedgehog box(es)</t>
  </si>
  <si>
    <t>Overall score</t>
  </si>
  <si>
    <t>Award level</t>
  </si>
  <si>
    <t>Insect hotel(s)</t>
  </si>
  <si>
    <t>Never</t>
  </si>
  <si>
    <t>How often do you spend time outdoors enjoying nature?</t>
  </si>
  <si>
    <t>Less than once a month</t>
  </si>
  <si>
    <t>About once a month</t>
  </si>
  <si>
    <t>About twice a month</t>
  </si>
  <si>
    <t>Every week</t>
  </si>
  <si>
    <t>More than once a week</t>
  </si>
  <si>
    <t>How often do you pray about local or national environmental issues?</t>
  </si>
  <si>
    <t>How often do you pray about international or global environmental issues?</t>
  </si>
  <si>
    <t>All our meals are vegetarian or vegan</t>
  </si>
  <si>
    <t>All our meals are pescetarian, vegetarian or vegan</t>
  </si>
  <si>
    <t>At least 80% of our meals are pescetarian, vegetarian or vegan</t>
  </si>
  <si>
    <t>At least 60% of our meals are pescetarian, vegetarian or vegan</t>
  </si>
  <si>
    <t>At least 40% of our meals are pescetarian, vegetarian or vegan</t>
  </si>
  <si>
    <t>About once a week</t>
  </si>
  <si>
    <t>We avoid air-freighted food</t>
  </si>
  <si>
    <t>We avoid fresh fruit and vegetables that are out of season</t>
  </si>
  <si>
    <t>We grow our own vegetables and fruit</t>
  </si>
  <si>
    <t>We buy organic food where possible</t>
  </si>
  <si>
    <t>We buy Fairtrade food where possible</t>
  </si>
  <si>
    <t>We buy animal-friendly food where possible (eg. free-range)</t>
  </si>
  <si>
    <t>We avoid products with unethically sourced palm oil</t>
  </si>
  <si>
    <t>Always</t>
  </si>
  <si>
    <t>Mostly</t>
  </si>
  <si>
    <t>Not sure</t>
  </si>
  <si>
    <t>Sometimes</t>
  </si>
  <si>
    <t>All our meals are vegan or we follow the planetary health diet</t>
  </si>
  <si>
    <t>We have measured our energy use and calculated the carbon footprint of our home</t>
  </si>
  <si>
    <t>We have set a target for reducing the carbon footprint of our home</t>
  </si>
  <si>
    <t>We offset the carbon footprint of our home for those things we cannot reduce</t>
  </si>
  <si>
    <t>The electricity supplied to our home is generated from renewable resources</t>
  </si>
  <si>
    <t>Some</t>
  </si>
  <si>
    <t>Not applicable</t>
  </si>
  <si>
    <t>(an engineer should be able to determine this as part of the annual service)</t>
  </si>
  <si>
    <t>In terms of energy efficiency  our boiler is rated:</t>
  </si>
  <si>
    <t>A (or above)</t>
  </si>
  <si>
    <t>B</t>
  </si>
  <si>
    <t>C</t>
  </si>
  <si>
    <t>D</t>
  </si>
  <si>
    <t>Need to find out</t>
  </si>
  <si>
    <t>Our home is insulated as follows:</t>
  </si>
  <si>
    <t>All exterior walls and all lofts/ceilings</t>
  </si>
  <si>
    <t>Some exterior walls and some lofts/ceilings</t>
  </si>
  <si>
    <t>All exterior walls only</t>
  </si>
  <si>
    <t>Some exterior walls only</t>
  </si>
  <si>
    <t>All lofts/ceilings only</t>
  </si>
  <si>
    <t>Some lofts/ceilings only</t>
  </si>
  <si>
    <t>Not at all</t>
  </si>
  <si>
    <t>Not applicable (listed status)</t>
  </si>
  <si>
    <t>Our home is double-glazed as follows:</t>
  </si>
  <si>
    <t>Full double-glazing</t>
  </si>
  <si>
    <t>Some double-glazing</t>
  </si>
  <si>
    <t>Full secondary glazing</t>
  </si>
  <si>
    <t>Some secondary glazing</t>
  </si>
  <si>
    <t>The lighting in our home uses energy efficient light bulbs as follows:</t>
  </si>
  <si>
    <t>All LED bulbs</t>
  </si>
  <si>
    <t>Some LED bulbs and some low energy bulbs</t>
  </si>
  <si>
    <t>Some LED bulbs and some non-low energy bulbs</t>
  </si>
  <si>
    <t>All low energy bulbs</t>
  </si>
  <si>
    <t>No low energy bulbs</t>
  </si>
  <si>
    <t>The water supply to our home is metered:</t>
  </si>
  <si>
    <t>The toilet cisterns in our home are fitted with dual-flush buttons or other water-saving devices</t>
  </si>
  <si>
    <t>All</t>
  </si>
  <si>
    <t>None</t>
  </si>
  <si>
    <t>We use recycled toilet paper at home</t>
  </si>
  <si>
    <t>The cleaning products used arounnd our home are environmentally-friendly</t>
  </si>
  <si>
    <t>We generate renewable energy on our home (e.g. from air or ground source heat pump, solar PV panels; solar hot water; wind turbine etc.)</t>
  </si>
  <si>
    <t>Our heating thermostat is set to:</t>
  </si>
  <si>
    <t>18.5-19.5 degrees C</t>
  </si>
  <si>
    <t>18 degrees C or less</t>
  </si>
  <si>
    <t>20-21 degrees C</t>
  </si>
  <si>
    <t>21.5 degrees C or higher</t>
  </si>
  <si>
    <t>Not applicable (no thermostat)</t>
  </si>
  <si>
    <t>The number of bedrooms in our home that are not used most nights is:</t>
  </si>
  <si>
    <t>One</t>
  </si>
  <si>
    <t>Two or more</t>
  </si>
  <si>
    <t>The gas supplied to our home is generated from renewable sources and/or charged according to our supplier's 'green tariff'</t>
  </si>
  <si>
    <t>Whenever possible</t>
  </si>
  <si>
    <t>Often</t>
  </si>
  <si>
    <t>Occasionally</t>
  </si>
  <si>
    <t>We hire / borrow /swap / buy secondhand goods, rather than buying new</t>
  </si>
  <si>
    <t>We hire / borrow / swap / buy secondhand clothes, rather than buying new</t>
  </si>
  <si>
    <t>We try to repair rather than replace things</t>
  </si>
  <si>
    <t>When we no longer need something that is in working order, we try to sell it / give it away / repurpose it rather than throw it away</t>
  </si>
  <si>
    <t>We generally try to limit what we buy to stuff that we really need</t>
  </si>
  <si>
    <t>When buying new electrical appliances, we try to buy the most energy efficient option</t>
  </si>
  <si>
    <t>When buying new goods, we try to choose the option that has the lowest environmental impact</t>
  </si>
  <si>
    <t>When buying things made out of wood (eg. paper, furniture), we try to choose options that are recycled or FSC certified (or equivalent)</t>
  </si>
  <si>
    <t>We replace our mobile phones</t>
  </si>
  <si>
    <t>Every year</t>
  </si>
  <si>
    <t>Every two years</t>
  </si>
  <si>
    <t>Every three years</t>
  </si>
  <si>
    <t>Less than every three years</t>
  </si>
  <si>
    <t>Not applicable (we don't have mobile phones)</t>
  </si>
  <si>
    <t>We try to buy things that are made to last</t>
  </si>
  <si>
    <t>We avoid buying things made of or packaged in single-use plastic</t>
  </si>
  <si>
    <t>We recycle</t>
  </si>
  <si>
    <t>Everything that the council will collect from our doorstep for recycling</t>
  </si>
  <si>
    <t>Most things that the council will collect from our doorstep for recycling</t>
  </si>
  <si>
    <t>Some things that the council will collect from our doorstep for recycling</t>
  </si>
  <si>
    <t>Very little</t>
  </si>
  <si>
    <t>Everything we can, including items the council do not recycle</t>
  </si>
  <si>
    <t>Nothing</t>
  </si>
  <si>
    <t>We choose reusable rather than disposable options</t>
  </si>
  <si>
    <t>Community and Global Engagement</t>
  </si>
  <si>
    <t>We plan our meals to minimise food waste</t>
  </si>
  <si>
    <t>At least annually</t>
  </si>
  <si>
    <t>Less often</t>
  </si>
  <si>
    <t>We use reusable cups rather than disposable ones when buying drinks</t>
  </si>
  <si>
    <t>We take refillable water bottles rather than buying disposable ones when out and about</t>
  </si>
  <si>
    <t>We take reusable shopping bags with us when we go shopping</t>
  </si>
  <si>
    <t>Our food waste</t>
  </si>
  <si>
    <t>We buy things without packaging (eg. loose fruit &amp; veg, other food products, refill toiletries and cleaning products)</t>
  </si>
  <si>
    <t>Goes in the food waste bin</t>
  </si>
  <si>
    <t>Goes in the general waste bin</t>
  </si>
  <si>
    <t>We are members of a local sustainability group (eg. Transition Dorking or related groups)</t>
  </si>
  <si>
    <t>We are members of a local wildlife or environmental organisation (eg. Surrey Wildlife Trust)</t>
  </si>
  <si>
    <t>We are members of a national or international wildlife or environmental organisation</t>
  </si>
  <si>
    <t>We volunteer in a community clean-up project (eg. litter pick)</t>
  </si>
  <si>
    <t>We volunteer for a local environmental/wildlife group</t>
  </si>
  <si>
    <t>Several times a year</t>
  </si>
  <si>
    <t>About once a year</t>
  </si>
  <si>
    <t>Less than once a year</t>
  </si>
  <si>
    <t>More than once a month</t>
  </si>
  <si>
    <t>We campaign on national or local environmental issues</t>
  </si>
  <si>
    <t>We campaign on global environmental issues</t>
  </si>
  <si>
    <t>Our toilets are twinned</t>
  </si>
  <si>
    <t>Regularly</t>
  </si>
  <si>
    <t>Most</t>
  </si>
  <si>
    <t>Our money (current account and savings) are in banks or investments that don't harm creation</t>
  </si>
  <si>
    <t>Not applicable (no pension or state pension only)</t>
  </si>
  <si>
    <t>Pension</t>
  </si>
  <si>
    <t>Money</t>
  </si>
  <si>
    <t>Community &amp; Global Engagement</t>
  </si>
  <si>
    <t>Stuff</t>
  </si>
  <si>
    <t xml:space="preserve">https://www.theguardian.com/money/2015/may/09/how-get-pension-fund-divest-fossil-fuels </t>
  </si>
  <si>
    <t xml:space="preserve">https://www.climatestewards.org/offset/ </t>
  </si>
  <si>
    <t xml:space="preserve">https://www.actionsurrey.org/improve/insulation </t>
  </si>
  <si>
    <t>https://www.actionsurrey.org/improve/windows</t>
  </si>
  <si>
    <t xml:space="preserve">https://www.waterplc.com/pages/home/water-meters/ </t>
  </si>
  <si>
    <t xml:space="preserve">https://www.actionsurrey.org/improve/renewables </t>
  </si>
  <si>
    <t>https://www.rspb.org.uk/get-involved/activities/give-nature-a-home-in-your-garden/</t>
  </si>
  <si>
    <t xml:space="preserve">https://foodfloat.org/ </t>
  </si>
  <si>
    <t xml:space="preserve">https://www.wwf.org.uk/updates/8-things-know-about-palm-oil </t>
  </si>
  <si>
    <t>https://www.lovefoodhatewaste.com/</t>
  </si>
  <si>
    <t>We use Dorking Community Fridge to reduce food waste</t>
  </si>
  <si>
    <t>https://dorkingcommunityfridge.co.uk/</t>
  </si>
  <si>
    <t xml:space="preserve">https://www.facebook.com/dorkingrepaircafe/ </t>
  </si>
  <si>
    <t>When washing clothes made from synthetic fabrics, we use a guppy friend bag to stop microfibres entering rivers and oceans</t>
  </si>
  <si>
    <t xml:space="preserve">https://www.lakeland.co.uk/53201/Guppyfriend-Washing-Bag-to-Reduce-Microplastic-Pollution </t>
  </si>
  <si>
    <t xml:space="preserve">http://www.molevalley.gov.uk/index.cfm?articleid=16918 </t>
  </si>
  <si>
    <t xml:space="preserve">https://fetchemcupboard.co.uk/about/ </t>
  </si>
  <si>
    <t xml:space="preserve">https://www.facebook.com/groups/transitiondorking/ </t>
  </si>
  <si>
    <t xml:space="preserve">https://www.surreywildlifetrust.org/ </t>
  </si>
  <si>
    <t xml:space="preserve">https://www.toilettwinning.org/ </t>
  </si>
  <si>
    <t>Number of cars per person</t>
  </si>
  <si>
    <t>0.5 or less (1 car per 2 people or less)</t>
  </si>
  <si>
    <t>More than 0.5 but less than 1</t>
  </si>
  <si>
    <t>More than 1</t>
  </si>
  <si>
    <t>Not applicable (we don't have cars)</t>
  </si>
  <si>
    <t>Car choice</t>
  </si>
  <si>
    <t>Number of people in household:</t>
  </si>
  <si>
    <t>&lt;=0.5</t>
  </si>
  <si>
    <t>0.51-1</t>
  </si>
  <si>
    <t>&gt;1</t>
  </si>
  <si>
    <t>Our car(s) is/are powered by:</t>
  </si>
  <si>
    <t>All electric</t>
  </si>
  <si>
    <t>Part electric / part petrol or diesel</t>
  </si>
  <si>
    <t>All petrol or diesel, but efficient (usually get more than 55mpg)</t>
  </si>
  <si>
    <t>How many cars /motor vehicles do you have in your household?</t>
  </si>
  <si>
    <t>When choosing motor vehicles, environmental impact is one of our key priorities</t>
  </si>
  <si>
    <t>Not applicable (we don't have a car)</t>
  </si>
  <si>
    <t>car_power</t>
  </si>
  <si>
    <t>Mileage</t>
  </si>
  <si>
    <t>100-200</t>
  </si>
  <si>
    <t>&lt;26</t>
  </si>
  <si>
    <t>201-400</t>
  </si>
  <si>
    <t>800+</t>
  </si>
  <si>
    <t>400-800</t>
  </si>
  <si>
    <t>Bus miles</t>
  </si>
  <si>
    <t>Public transport</t>
  </si>
  <si>
    <t>Train miles</t>
  </si>
  <si>
    <t>Max available</t>
  </si>
  <si>
    <t>When travelling by car, we try to car share with others not in our household</t>
  </si>
  <si>
    <t>Car share</t>
  </si>
  <si>
    <t>Rarely</t>
  </si>
  <si>
    <t>Frequently</t>
  </si>
  <si>
    <t>Not applicable (do not travel by car)</t>
  </si>
  <si>
    <t>Include commuting, but exclude travel that is part of your work</t>
  </si>
  <si>
    <t>Flights</t>
  </si>
  <si>
    <t>https://www.climatestewards.org/offset/</t>
  </si>
  <si>
    <t>CO2 from flights</t>
  </si>
  <si>
    <t>&lt;500</t>
  </si>
  <si>
    <t>500-999</t>
  </si>
  <si>
    <t>1000-1499</t>
  </si>
  <si>
    <t>1500-1999</t>
  </si>
  <si>
    <t>2000-2999</t>
  </si>
  <si>
    <t>3000-3999</t>
  </si>
  <si>
    <t>4000-4999</t>
  </si>
  <si>
    <t>5000-5999</t>
  </si>
  <si>
    <t>6000+</t>
  </si>
  <si>
    <t>Flight class</t>
  </si>
  <si>
    <t>Economy</t>
  </si>
  <si>
    <t>Premium Economy</t>
  </si>
  <si>
    <t>Business</t>
  </si>
  <si>
    <t>First class</t>
  </si>
  <si>
    <t>Not applicable (don't fly)</t>
  </si>
  <si>
    <t>We have calculated the total CO2 kg from the personal flights we have taken in the last 12 months using https://www.climatestewards.org/offset/ and it comes to:</t>
  </si>
  <si>
    <t>Offsetting</t>
  </si>
  <si>
    <t>None of our flights</t>
  </si>
  <si>
    <t>Some of our flights</t>
  </si>
  <si>
    <t>All of our flights</t>
  </si>
  <si>
    <t>Offsetting cars</t>
  </si>
  <si>
    <t>We have carbon offset for the personal flights we have taken in the last 12 months</t>
  </si>
  <si>
    <t>https://co2.myclimate.org/en/cruise_calculators/new</t>
  </si>
  <si>
    <t>We have calculated the total CO2 kg from the cruises we have taken in the last 12 months using https://co2.myclimate.org/en/cruise_calculators/new and it comes to:</t>
  </si>
  <si>
    <t>We have carbon offset for our private vehicle travel over the last 12 months</t>
  </si>
  <si>
    <t>We have carbon offset for the cruises we have taken in the last 12 months</t>
  </si>
  <si>
    <t>We recommend using the 'Other CO2' tab of https://www.climatestewards.org/offset/ if you wish to offset CO2 from cruises</t>
  </si>
  <si>
    <t>The number of small pet dogs we have is:</t>
  </si>
  <si>
    <t>The number of medium pet dogs we have is:</t>
  </si>
  <si>
    <t>The number of large pet dogs we have is:</t>
  </si>
  <si>
    <t>The food we give our dogs is:</t>
  </si>
  <si>
    <t>Mostly meat-based</t>
  </si>
  <si>
    <t>Mostly insect based</t>
  </si>
  <si>
    <t>Mostly vegetarian</t>
  </si>
  <si>
    <t>Mostly fish based</t>
  </si>
  <si>
    <t>Pet food</t>
  </si>
  <si>
    <t>The number of pet cats we have is</t>
  </si>
  <si>
    <t>The food we give our cats is</t>
  </si>
  <si>
    <t>cat food</t>
  </si>
  <si>
    <t>Mostly fish-based</t>
  </si>
  <si>
    <t xml:space="preserve">https://www.petscorner.co.uk/yora-pet-foods </t>
  </si>
  <si>
    <t>We have been on a cruise in the last 12 months (do not include ferry trips)</t>
  </si>
  <si>
    <t>61-99</t>
  </si>
  <si>
    <t>26-39</t>
  </si>
  <si>
    <t>40-60</t>
  </si>
  <si>
    <t>Water butt to save water</t>
  </si>
  <si>
    <t>We have a smart meter for our electricity</t>
  </si>
  <si>
    <t>We try to save water by having short (less than 4 minutes) showers rather than long showers or baths</t>
  </si>
  <si>
    <t>We turn electrical devices (TV, computers, appliances etc) off rather than leave them on standby when not in use</t>
  </si>
  <si>
    <t>https://chat.whatsapp.com/KcuCjZdEAsMJLila9VG6Fk</t>
  </si>
  <si>
    <t>Welcome</t>
  </si>
  <si>
    <t>Award Levels</t>
  </si>
  <si>
    <t>The survey is split into 7 areas:</t>
  </si>
  <si>
    <t>Worship and prayer</t>
  </si>
  <si>
    <t>Community and global engagement</t>
  </si>
  <si>
    <t>How the scheme works</t>
  </si>
  <si>
    <t>Each area has a separate worksheet, with questions.</t>
  </si>
  <si>
    <t>The only cells you need to edit are those coloured green.</t>
  </si>
  <si>
    <t>Cells that are shaded this colour have a drop down list you can pick from when you click on the cell.</t>
  </si>
  <si>
    <t>Cells that are shaded this colour need you to enter a number (as a numeral, rather than in words)</t>
  </si>
  <si>
    <t>The number of points you get will be shown in the column shaded orange, to the right of your answer. Have a look at how many points you would get if you answered the question differently by picking a different answer.</t>
  </si>
  <si>
    <t>Start by entering your household name in the dark green cell in the 'Overview' worksheet, and type in how many people there are in your household in the other green box on that worksheet. Then pick an area of the survey, and start working your way through that. As you complete sections, the Overview page will update to show how you're doing in each area.</t>
  </si>
  <si>
    <t>Once you have answered all the questions in a worksheet, your total score will be shown at the bottom. You can work out which award level you're at based on the colour of the cell.</t>
  </si>
  <si>
    <t>If your Overall Score and Award Level cells are black, this means you have not yet reached bronze level in that area.</t>
  </si>
  <si>
    <t>If your Overall Score and Award Level cells are orange this means you have reached bronze level in that area - well done!</t>
  </si>
  <si>
    <t>If your Overall Score and Award Level cells are grey this means you have reached silver level in that area - good work!</t>
  </si>
  <si>
    <t>If your Overall Score and Awards Level cells are yellow this means you have reached gold level in that area - excellent!</t>
  </si>
  <si>
    <t>To get to bronze level overall, you need to have achieved at least bronze level in every area. Similarly for silver, you need to have reached at least silver level in each area. And for gold, you need to have reached at least gold level in every area. We've made gold really ambitious, so don't be surprised if it takes you a while to get there.</t>
  </si>
  <si>
    <t>Tips and resources</t>
  </si>
  <si>
    <t>To go with the survey, we've created a Google Doc with tips and resources. You can access it using the link below. Please do add any tips or resources that you think may be helpful for others.</t>
  </si>
  <si>
    <t xml:space="preserve">https://docs.google.com/document/d/1wmthgygGP1ZMpMl7M9cITPV7VGdohexN3d-p9h5X2AQ/edit?usp=sharing </t>
  </si>
  <si>
    <t>(NB. If you don't have a garden, you won't be penalised for not getting points in this area. Just answer 'no' in cell C2 of the garden tab, and move on to the next section.)</t>
  </si>
  <si>
    <t>Date:</t>
  </si>
  <si>
    <t>Creation Care survey</t>
  </si>
  <si>
    <t>The Creation Care scheme aims to encourage households to make changes to care for God's earth. Wherever households are on their creation care journey, we want to provide ideas for their next steps, and recognise progress that's made.</t>
  </si>
  <si>
    <t>How do I register or apply for an award?</t>
  </si>
  <si>
    <t xml:space="preserve">Once you have completed the survey, send it (either the whole survey or just a screenshot of your overview tab) to eco@stpaulsdorking.org.uk </t>
  </si>
  <si>
    <t>When you're ready to apply for the next level of award, send the updated survey (either the whole survey or just a screenshot of your overview tab) to eco@stpaulsdorking.org.uk</t>
  </si>
  <si>
    <t>We'll give out certificates and awards at services regularly throughout the year, and will let you know when the next opportunity to receive your award is once we receive your survey.</t>
  </si>
  <si>
    <t>What will you do with my survey data?</t>
  </si>
  <si>
    <t>We will use your survey data to administer the awards. Once you have received your award, we will delete our copy of your completed spreadsheet, and retain only summary data for your total score in each area.</t>
  </si>
  <si>
    <t>How often do you spend time in nature (eg. garden, park or further afield) praying or worshipping God?</t>
  </si>
  <si>
    <t>How often do you pray for groups or organisations working on environmental problems?</t>
  </si>
  <si>
    <t>Some LEDs or low energy bulbs and some non-low energy bulbs</t>
  </si>
  <si>
    <t>Pond</t>
  </si>
  <si>
    <t>Yes, with fish</t>
  </si>
  <si>
    <t>Yes, with no fish</t>
  </si>
  <si>
    <t>At least some perennials left uncut until spring</t>
  </si>
  <si>
    <t>Vegetable patch/container(s)</t>
  </si>
  <si>
    <r>
      <t xml:space="preserve">In total, the number of miles we drive in a private vehicle in a </t>
    </r>
    <r>
      <rPr>
        <b/>
        <sz val="11"/>
        <color theme="1"/>
        <rFont val="Calibri"/>
        <family val="2"/>
        <scheme val="minor"/>
      </rPr>
      <t>normal</t>
    </r>
    <r>
      <rPr>
        <sz val="11"/>
        <color theme="1"/>
        <rFont val="Calibri"/>
        <family val="2"/>
        <scheme val="minor"/>
      </rPr>
      <t xml:space="preserve"> week is around:</t>
    </r>
  </si>
  <si>
    <r>
      <t xml:space="preserve">In total, the number of miles we travel by bus in a </t>
    </r>
    <r>
      <rPr>
        <b/>
        <sz val="11"/>
        <color theme="1"/>
        <rFont val="Calibri"/>
        <family val="2"/>
        <scheme val="minor"/>
      </rPr>
      <t>normal</t>
    </r>
    <r>
      <rPr>
        <sz val="11"/>
        <color theme="1"/>
        <rFont val="Calibri"/>
        <family val="2"/>
        <scheme val="minor"/>
      </rPr>
      <t xml:space="preserve"> week is around:</t>
    </r>
  </si>
  <si>
    <r>
      <t xml:space="preserve">In total, the number of miles we travel by train in a </t>
    </r>
    <r>
      <rPr>
        <b/>
        <sz val="11"/>
        <color theme="1"/>
        <rFont val="Calibri"/>
        <family val="2"/>
        <scheme val="minor"/>
      </rPr>
      <t>normal</t>
    </r>
    <r>
      <rPr>
        <sz val="11"/>
        <color theme="1"/>
        <rFont val="Calibri"/>
        <family val="2"/>
        <scheme val="minor"/>
      </rPr>
      <t xml:space="preserve"> week is around:</t>
    </r>
  </si>
  <si>
    <t>When we fly for holidays or other personal reasons, we usually fly in the following class:</t>
  </si>
  <si>
    <t>NB. This affects the number of points in the following question.</t>
  </si>
  <si>
    <t>All of us, whenever possible</t>
  </si>
  <si>
    <t>All of us, often</t>
  </si>
  <si>
    <t>All of us, occassionally</t>
  </si>
  <si>
    <t>Some of us whenever possible, and some of us often</t>
  </si>
  <si>
    <t>Some of us whenever possible, and some of us occassionally</t>
  </si>
  <si>
    <t>All of us, never</t>
  </si>
  <si>
    <t>Some of us whenever possible, and some of us never</t>
  </si>
  <si>
    <t>Some of us often, and some of us occassionally</t>
  </si>
  <si>
    <t>Some of us often, and some of us never</t>
  </si>
  <si>
    <t>Some of us occassionally, and some of us never</t>
  </si>
  <si>
    <t>All of us whenever possible</t>
  </si>
  <si>
    <t>We walk or cycle rather than use motor vehicles</t>
  </si>
  <si>
    <t xml:space="preserve">We use public transport rather than cars/motorbikes </t>
  </si>
  <si>
    <t>At least 90% of our meals are pescetarian, vegetarian or vegan</t>
  </si>
  <si>
    <t>Less than 40% of our meals are pescetarian, vegetarian or vegan</t>
  </si>
  <si>
    <t>Diet proportions</t>
  </si>
  <si>
    <t>Vegan</t>
  </si>
  <si>
    <t>Vegetarian (not vegan)</t>
  </si>
  <si>
    <t>Fish-based</t>
  </si>
  <si>
    <t>Red meat - based</t>
  </si>
  <si>
    <t>Other meat based</t>
  </si>
  <si>
    <t>Roughly what proportion of your meals are vegan?</t>
  </si>
  <si>
    <t>Roughly what proportion of your meals are vegetarian but not vegan?</t>
  </si>
  <si>
    <t>Roughly what proportion of your meals contain fish?</t>
  </si>
  <si>
    <t>Roughly what proportion of your meals contain red meat?</t>
  </si>
  <si>
    <t>Roughly what proportion of your meals contain other meat?</t>
  </si>
  <si>
    <t>Diet score</t>
  </si>
  <si>
    <t>Your total diet points will be displayed in cell D9</t>
  </si>
  <si>
    <t>Grow your own</t>
  </si>
  <si>
    <t>None of our food</t>
  </si>
  <si>
    <t>A little of our food</t>
  </si>
  <si>
    <t>A medium amount of our food</t>
  </si>
  <si>
    <t>All our food</t>
  </si>
  <si>
    <t>Not applicable: no garden</t>
  </si>
  <si>
    <t>A lot of our food</t>
  </si>
  <si>
    <t>Points available</t>
  </si>
  <si>
    <t>We buy locally produced food where possible</t>
  </si>
  <si>
    <t>We have asked our pension fund(s) to divest from fossil fuels</t>
  </si>
  <si>
    <t>We have flown for holidays or other personal reasons in the last 12 months</t>
  </si>
  <si>
    <t>We give money, time or resources to an environmental charity</t>
  </si>
  <si>
    <t>This includes organisations like the National Trust, RSPB, Surrey Wildlife Trust and other nature or environmental groups.</t>
  </si>
  <si>
    <t>We engage with our MP, or district or county council/councillors on environmental issues</t>
  </si>
  <si>
    <t>Is mostly composted at home/given to domestic animals</t>
  </si>
  <si>
    <t>Is there anything else you want us to know, related to this area?</t>
  </si>
  <si>
    <t>Not applicable because of mobility difficulties</t>
  </si>
  <si>
    <t>Possessions</t>
  </si>
  <si>
    <t>Possessions &amp; Waste</t>
  </si>
  <si>
    <t>Bottled water</t>
  </si>
  <si>
    <t>We drink bottled water</t>
  </si>
  <si>
    <t>Every day</t>
  </si>
  <si>
    <t>All petrol or diesel, medium efficiency (usually get 50 to 55mpg)</t>
  </si>
  <si>
    <t>All petrol or diesel, low efficiency (usually get less than 50mpg)</t>
  </si>
  <si>
    <t>There are 122 questions, so it will take a while to complete. If that's a bit overwhelming, work through a section at a time - you don't need to do it all in one go.</t>
  </si>
  <si>
    <t>There are three levels of awards: Gold, Silver and Bronze. Households that have completed the survey, and are working towards the bronze award level, but have not yet reached it, can receive a certificate for formally registering to be part of the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</si>
</sst>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b/>
      <sz val="11"/>
      <color theme="1"/>
      <name val="Calibri"/>
      <family val="2"/>
      <scheme val="minor"/>
    </font>
    <font>
      <i/>
      <sz val="11"/>
      <color rgb="FF7F7F7F"/>
      <name val="Calibri"/>
      <family val="2"/>
      <scheme val="minor"/>
    </font>
    <font>
      <b/>
      <i/>
      <sz val="11"/>
      <color theme="1"/>
      <name val="Calibri"/>
      <family val="2"/>
      <scheme val="minor"/>
    </font>
    <font>
      <sz val="11"/>
      <color theme="1"/>
      <name val="Gill Sans MT"/>
      <family val="2"/>
    </font>
    <font>
      <sz val="11"/>
      <color rgb="FFFFC000"/>
      <name val="Calibri"/>
      <family val="2"/>
      <scheme val="minor"/>
    </font>
    <font>
      <u/>
      <sz val="11"/>
      <color theme="10"/>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9" tint="-0.249977111117893"/>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xf numFmtId="0" fontId="0" fillId="0" borderId="0" xfId="0" applyAlignment="1">
      <alignment horizontal="right"/>
    </xf>
    <xf numFmtId="0" fontId="1" fillId="0" borderId="0" xfId="0" applyFont="1" applyAlignment="1">
      <alignment horizontal="right"/>
    </xf>
    <xf numFmtId="0" fontId="2" fillId="0" borderId="0" xfId="1"/>
    <xf numFmtId="0" fontId="0" fillId="0" borderId="0" xfId="0" applyAlignment="1">
      <alignment horizontal="right" wrapText="1"/>
    </xf>
    <xf numFmtId="0" fontId="3" fillId="0" borderId="0" xfId="0" applyFont="1"/>
    <xf numFmtId="2" fontId="0" fillId="0" borderId="0" xfId="0" applyNumberFormat="1"/>
    <xf numFmtId="0" fontId="3" fillId="0" borderId="0" xfId="0" applyFont="1" applyAlignment="1">
      <alignment horizontal="left"/>
    </xf>
    <xf numFmtId="0" fontId="0" fillId="3" borderId="0" xfId="0" applyFill="1"/>
    <xf numFmtId="0" fontId="0" fillId="0" borderId="0" xfId="0" applyAlignment="1">
      <alignment wrapText="1"/>
    </xf>
    <xf numFmtId="0" fontId="4" fillId="3" borderId="0" xfId="0" applyFont="1" applyFill="1"/>
    <xf numFmtId="0" fontId="0" fillId="0" borderId="0" xfId="0" applyFont="1" applyAlignment="1">
      <alignment horizontal="left"/>
    </xf>
    <xf numFmtId="164" fontId="0" fillId="0" borderId="0" xfId="0" applyNumberFormat="1"/>
    <xf numFmtId="0" fontId="5" fillId="3" borderId="0" xfId="0" applyFont="1" applyFill="1"/>
    <xf numFmtId="0" fontId="5" fillId="0" borderId="0" xfId="0" applyFont="1"/>
    <xf numFmtId="0" fontId="6" fillId="0" borderId="0" xfId="2"/>
    <xf numFmtId="1" fontId="0" fillId="0" borderId="0" xfId="0" applyNumberFormat="1"/>
    <xf numFmtId="0" fontId="0" fillId="4" borderId="0" xfId="0" applyFill="1" applyAlignment="1">
      <alignment wrapText="1"/>
    </xf>
    <xf numFmtId="0" fontId="0" fillId="2" borderId="0" xfId="0" applyFill="1" applyAlignment="1">
      <alignment wrapText="1"/>
    </xf>
    <xf numFmtId="1" fontId="0" fillId="3" borderId="0" xfId="0" applyNumberFormat="1" applyFill="1"/>
    <xf numFmtId="0" fontId="8" fillId="0" borderId="0" xfId="0" applyFont="1"/>
    <xf numFmtId="0" fontId="9" fillId="0" borderId="0" xfId="0" applyFont="1"/>
    <xf numFmtId="0" fontId="0" fillId="3" borderId="0" xfId="0" applyFill="1" applyAlignment="1">
      <alignment wrapText="1"/>
    </xf>
    <xf numFmtId="0" fontId="7" fillId="7" borderId="0" xfId="0" applyFont="1" applyFill="1" applyAlignment="1">
      <alignment wrapText="1"/>
    </xf>
    <xf numFmtId="0" fontId="0" fillId="8" borderId="0" xfId="0" applyFill="1" applyAlignment="1">
      <alignment wrapText="1"/>
    </xf>
    <xf numFmtId="0" fontId="0" fillId="9" borderId="0" xfId="0" applyFill="1" applyAlignment="1">
      <alignment wrapText="1"/>
    </xf>
    <xf numFmtId="0" fontId="0" fillId="6" borderId="0" xfId="0" applyFill="1" applyAlignment="1">
      <alignment wrapText="1"/>
    </xf>
    <xf numFmtId="0" fontId="1" fillId="0" borderId="0" xfId="0" applyFont="1" applyAlignment="1">
      <alignment wrapText="1"/>
    </xf>
    <xf numFmtId="0" fontId="9" fillId="0" borderId="0" xfId="0" applyFont="1" applyAlignment="1">
      <alignment wrapText="1"/>
    </xf>
    <xf numFmtId="0" fontId="10" fillId="0" borderId="0" xfId="0" applyFont="1"/>
    <xf numFmtId="0" fontId="6" fillId="0" borderId="0" xfId="2" applyAlignment="1">
      <alignment wrapText="1"/>
    </xf>
    <xf numFmtId="0" fontId="1" fillId="0" borderId="0" xfId="0" applyFont="1" applyAlignment="1"/>
    <xf numFmtId="0" fontId="0" fillId="0" borderId="0" xfId="0" applyAlignment="1">
      <alignment horizontal="left"/>
    </xf>
    <xf numFmtId="0" fontId="0" fillId="0" borderId="0" xfId="0" applyAlignment="1">
      <alignment horizontal="left" wrapText="1"/>
    </xf>
    <xf numFmtId="0" fontId="0" fillId="0" borderId="0" xfId="0" applyFill="1" applyAlignment="1">
      <alignment horizontal="left" wrapText="1"/>
    </xf>
    <xf numFmtId="9" fontId="0" fillId="0" borderId="0" xfId="0" applyNumberFormat="1"/>
    <xf numFmtId="0" fontId="0" fillId="0" borderId="0" xfId="0" applyFont="1"/>
    <xf numFmtId="1" fontId="0" fillId="3" borderId="0" xfId="0" applyNumberFormat="1" applyFill="1" applyAlignment="1">
      <alignment horizontal="right"/>
    </xf>
    <xf numFmtId="1" fontId="5" fillId="3" borderId="0" xfId="0" applyNumberFormat="1" applyFont="1" applyFill="1"/>
    <xf numFmtId="0" fontId="0" fillId="5" borderId="0" xfId="0" applyFill="1" applyProtection="1">
      <protection locked="0"/>
    </xf>
    <xf numFmtId="165" fontId="0" fillId="5" borderId="0" xfId="0" applyNumberFormat="1" applyFill="1" applyProtection="1">
      <protection locked="0"/>
    </xf>
    <xf numFmtId="0" fontId="0" fillId="2" borderId="0" xfId="0" applyFill="1" applyProtection="1">
      <protection locked="0"/>
    </xf>
    <xf numFmtId="0" fontId="0" fillId="4" borderId="0" xfId="0" applyFill="1" applyProtection="1">
      <protection locked="0"/>
    </xf>
    <xf numFmtId="0" fontId="0" fillId="0" borderId="0" xfId="0" applyProtection="1">
      <protection locked="0"/>
    </xf>
    <xf numFmtId="0" fontId="1" fillId="0" borderId="0" xfId="0" applyFont="1" applyProtection="1">
      <protection locked="0"/>
    </xf>
    <xf numFmtId="0" fontId="0" fillId="4" borderId="0" xfId="0" applyFill="1" applyAlignment="1" applyProtection="1">
      <alignment wrapText="1"/>
      <protection locked="0"/>
    </xf>
    <xf numFmtId="0" fontId="0" fillId="2" borderId="0" xfId="0" applyFill="1" applyAlignment="1" applyProtection="1">
      <alignment wrapText="1"/>
      <protection locked="0"/>
    </xf>
    <xf numFmtId="0" fontId="0" fillId="4" borderId="0" xfId="0" applyFill="1" applyAlignment="1" applyProtection="1">
      <alignment horizontal="left" wrapText="1"/>
      <protection locked="0"/>
    </xf>
    <xf numFmtId="9" fontId="1" fillId="4" borderId="0" xfId="0" applyNumberFormat="1" applyFont="1" applyFill="1" applyProtection="1">
      <protection locked="0"/>
    </xf>
    <xf numFmtId="0" fontId="0" fillId="0" borderId="0" xfId="0" applyFill="1" applyAlignment="1" applyProtection="1">
      <alignment horizontal="left" wrapText="1"/>
      <protection locked="0"/>
    </xf>
    <xf numFmtId="0" fontId="1" fillId="0" borderId="0" xfId="0" applyFont="1" applyAlignment="1">
      <alignment horizontal="left"/>
    </xf>
  </cellXfs>
  <cellStyles count="3">
    <cellStyle name="Explanatory Text" xfId="1" builtinId="53"/>
    <cellStyle name="Hyperlink" xfId="2" builtinId="8"/>
    <cellStyle name="Normal" xfId="0" builtinId="0"/>
  </cellStyles>
  <dxfs count="75">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ont>
        <color rgb="FFFFFF00"/>
      </font>
      <fill>
        <patternFill>
          <bgColor rgb="FFFF0000"/>
        </patternFill>
      </fill>
    </dxf>
    <dxf>
      <font>
        <color rgb="FFFFFF00"/>
      </font>
      <fill>
        <patternFill>
          <bgColor rgb="FFFF00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1"/>
        </patternFill>
      </fill>
    </dxf>
    <dxf>
      <fill>
        <patternFill>
          <bgColor theme="9" tint="-0.24994659260841701"/>
        </patternFill>
      </fill>
    </dxf>
    <dxf>
      <fill>
        <patternFill>
          <bgColor theme="0" tint="-0.34998626667073579"/>
        </patternFill>
      </fill>
    </dxf>
    <dxf>
      <fill>
        <patternFill>
          <bgColor rgb="FFFFFF00"/>
        </patternFill>
      </fill>
    </dxf>
    <dxf>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12701</xdr:colOff>
      <xdr:row>0</xdr:row>
      <xdr:rowOff>0</xdr:rowOff>
    </xdr:from>
    <xdr:to>
      <xdr:col>1</xdr:col>
      <xdr:colOff>1</xdr:colOff>
      <xdr:row>1</xdr:row>
      <xdr:rowOff>43277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1" y="0"/>
          <a:ext cx="1854200" cy="16117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document/d/1wmthgygGP1ZMpMl7M9cITPV7VGdohexN3d-p9h5X2AQ/edit?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ctionsurrey.org/improve/windows" TargetMode="External"/><Relationship Id="rId7" Type="http://schemas.openxmlformats.org/officeDocument/2006/relationships/printerSettings" Target="../printerSettings/printerSettings3.bin"/><Relationship Id="rId2" Type="http://schemas.openxmlformats.org/officeDocument/2006/relationships/hyperlink" Target="https://www.actionsurrey.org/improve/insulation" TargetMode="External"/><Relationship Id="rId1" Type="http://schemas.openxmlformats.org/officeDocument/2006/relationships/hyperlink" Target="https://www.climatestewards.org/offset/" TargetMode="External"/><Relationship Id="rId6" Type="http://schemas.openxmlformats.org/officeDocument/2006/relationships/hyperlink" Target="https://www.climatestewards.org/offset/" TargetMode="External"/><Relationship Id="rId5" Type="http://schemas.openxmlformats.org/officeDocument/2006/relationships/hyperlink" Target="https://www.actionsurrey.org/improve/renewables" TargetMode="External"/><Relationship Id="rId4" Type="http://schemas.openxmlformats.org/officeDocument/2006/relationships/hyperlink" Target="https://www.waterplc.com/pages/home/water-mete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spb.org.uk/get-involved/activities/give-nature-a-home-in-your-gard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o2.myclimate.org/en/cruise_calculators/new" TargetMode="External"/><Relationship Id="rId1" Type="http://schemas.openxmlformats.org/officeDocument/2006/relationships/hyperlink" Target="https://www.climatestewards.org/offse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lovefoodhatewaste.com/" TargetMode="External"/><Relationship Id="rId2" Type="http://schemas.openxmlformats.org/officeDocument/2006/relationships/hyperlink" Target="https://www.wwf.org.uk/updates/8-things-know-about-palm-oil" TargetMode="External"/><Relationship Id="rId1" Type="http://schemas.openxmlformats.org/officeDocument/2006/relationships/hyperlink" Target="https://foodfloat.org/" TargetMode="External"/><Relationship Id="rId6" Type="http://schemas.openxmlformats.org/officeDocument/2006/relationships/printerSettings" Target="../printerSettings/printerSettings6.bin"/><Relationship Id="rId5" Type="http://schemas.openxmlformats.org/officeDocument/2006/relationships/hyperlink" Target="https://www.petscorner.co.uk/yora-pet-foods" TargetMode="External"/><Relationship Id="rId4" Type="http://schemas.openxmlformats.org/officeDocument/2006/relationships/hyperlink" Target="https://dorkingcommunityfridge.co.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molevalley.gov.uk/index.cfm?articleid=16918" TargetMode="External"/><Relationship Id="rId2" Type="http://schemas.openxmlformats.org/officeDocument/2006/relationships/hyperlink" Target="https://www.lakeland.co.uk/53201/Guppyfriend-Washing-Bag-to-Reduce-Microplastic-Pollution" TargetMode="External"/><Relationship Id="rId1" Type="http://schemas.openxmlformats.org/officeDocument/2006/relationships/hyperlink" Target="https://www.facebook.com/dorkingrepaircafe/" TargetMode="External"/><Relationship Id="rId6" Type="http://schemas.openxmlformats.org/officeDocument/2006/relationships/printerSettings" Target="../printerSettings/printerSettings7.bin"/><Relationship Id="rId5" Type="http://schemas.openxmlformats.org/officeDocument/2006/relationships/hyperlink" Target="https://chat.whatsapp.com/KcuCjZdEAsMJLila9VG6Fk" TargetMode="External"/><Relationship Id="rId4" Type="http://schemas.openxmlformats.org/officeDocument/2006/relationships/hyperlink" Target="https://fetchemcupboard.co.uk/abou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urreywildlifetrust.org/" TargetMode="External"/><Relationship Id="rId2" Type="http://schemas.openxmlformats.org/officeDocument/2006/relationships/hyperlink" Target="https://www.facebook.com/groups/transitiondorking/" TargetMode="External"/><Relationship Id="rId1" Type="http://schemas.openxmlformats.org/officeDocument/2006/relationships/hyperlink" Target="https://www.theguardian.com/money/2015/may/09/how-get-pension-fund-divest-fossil-fuels" TargetMode="External"/><Relationship Id="rId4" Type="http://schemas.openxmlformats.org/officeDocument/2006/relationships/hyperlink" Target="https://www.toilettwinning.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4"/>
  <sheetViews>
    <sheetView tabSelected="1" zoomScaleNormal="100" workbookViewId="0">
      <selection activeCell="B3" sqref="B3"/>
    </sheetView>
  </sheetViews>
  <sheetFormatPr defaultRowHeight="15" x14ac:dyDescent="0.25"/>
  <cols>
    <col min="1" max="1" width="26.7109375" customWidth="1"/>
    <col min="2" max="2" width="60.5703125" customWidth="1"/>
  </cols>
  <sheetData>
    <row r="1" spans="2:2" ht="123.6" customHeight="1" x14ac:dyDescent="0.35">
      <c r="B1" s="21" t="s">
        <v>314</v>
      </c>
    </row>
    <row r="2" spans="2:2" ht="18.75" x14ac:dyDescent="0.3">
      <c r="B2" s="22" t="s">
        <v>291</v>
      </c>
    </row>
    <row r="3" spans="2:2" ht="60" x14ac:dyDescent="0.25">
      <c r="B3" s="10" t="s">
        <v>315</v>
      </c>
    </row>
    <row r="5" spans="2:2" ht="18.75" x14ac:dyDescent="0.3">
      <c r="B5" s="22" t="s">
        <v>292</v>
      </c>
    </row>
    <row r="6" spans="2:2" ht="75" x14ac:dyDescent="0.25">
      <c r="B6" s="10" t="s">
        <v>388</v>
      </c>
    </row>
    <row r="8" spans="2:2" ht="18.75" x14ac:dyDescent="0.3">
      <c r="B8" s="22" t="s">
        <v>296</v>
      </c>
    </row>
    <row r="9" spans="2:2" x14ac:dyDescent="0.25">
      <c r="B9" t="s">
        <v>293</v>
      </c>
    </row>
    <row r="10" spans="2:2" x14ac:dyDescent="0.25">
      <c r="B10" t="s">
        <v>294</v>
      </c>
    </row>
    <row r="11" spans="2:2" x14ac:dyDescent="0.25">
      <c r="B11" t="s">
        <v>1</v>
      </c>
    </row>
    <row r="12" spans="2:2" x14ac:dyDescent="0.25">
      <c r="B12" t="s">
        <v>2</v>
      </c>
    </row>
    <row r="13" spans="2:2" x14ac:dyDescent="0.25">
      <c r="B13" t="s">
        <v>3</v>
      </c>
    </row>
    <row r="14" spans="2:2" x14ac:dyDescent="0.25">
      <c r="B14" t="s">
        <v>4</v>
      </c>
    </row>
    <row r="15" spans="2:2" x14ac:dyDescent="0.25">
      <c r="B15" t="s">
        <v>380</v>
      </c>
    </row>
    <row r="16" spans="2:2" x14ac:dyDescent="0.25">
      <c r="B16" t="s">
        <v>295</v>
      </c>
    </row>
    <row r="18" spans="2:2" x14ac:dyDescent="0.25">
      <c r="B18" t="s">
        <v>297</v>
      </c>
    </row>
    <row r="19" spans="2:2" x14ac:dyDescent="0.25">
      <c r="B19" s="30" t="s">
        <v>298</v>
      </c>
    </row>
    <row r="20" spans="2:2" ht="90" x14ac:dyDescent="0.25">
      <c r="B20" s="10" t="s">
        <v>302</v>
      </c>
    </row>
    <row r="21" spans="2:2" ht="45" x14ac:dyDescent="0.25">
      <c r="B21" s="10" t="s">
        <v>387</v>
      </c>
    </row>
    <row r="22" spans="2:2" ht="30" x14ac:dyDescent="0.25">
      <c r="B22" s="18" t="s">
        <v>299</v>
      </c>
    </row>
    <row r="23" spans="2:2" ht="30" x14ac:dyDescent="0.25">
      <c r="B23" s="19" t="s">
        <v>300</v>
      </c>
    </row>
    <row r="24" spans="2:2" ht="60" x14ac:dyDescent="0.25">
      <c r="B24" s="23" t="s">
        <v>301</v>
      </c>
    </row>
    <row r="25" spans="2:2" ht="45" x14ac:dyDescent="0.25">
      <c r="B25" s="10" t="s">
        <v>303</v>
      </c>
    </row>
    <row r="26" spans="2:2" ht="30" x14ac:dyDescent="0.25">
      <c r="B26" s="24" t="s">
        <v>304</v>
      </c>
    </row>
    <row r="27" spans="2:2" ht="30" x14ac:dyDescent="0.25">
      <c r="B27" s="26" t="s">
        <v>305</v>
      </c>
    </row>
    <row r="28" spans="2:2" ht="30" x14ac:dyDescent="0.25">
      <c r="B28" s="27" t="s">
        <v>306</v>
      </c>
    </row>
    <row r="29" spans="2:2" ht="30" x14ac:dyDescent="0.25">
      <c r="B29" s="25" t="s">
        <v>307</v>
      </c>
    </row>
    <row r="31" spans="2:2" ht="90" x14ac:dyDescent="0.25">
      <c r="B31" s="10" t="s">
        <v>308</v>
      </c>
    </row>
    <row r="32" spans="2:2" ht="45" x14ac:dyDescent="0.25">
      <c r="B32" s="10" t="s">
        <v>312</v>
      </c>
    </row>
    <row r="34" spans="2:2" ht="18.75" x14ac:dyDescent="0.3">
      <c r="B34" s="22" t="s">
        <v>309</v>
      </c>
    </row>
    <row r="35" spans="2:2" ht="45" x14ac:dyDescent="0.25">
      <c r="B35" s="10" t="s">
        <v>310</v>
      </c>
    </row>
    <row r="36" spans="2:2" ht="30" x14ac:dyDescent="0.25">
      <c r="B36" s="31" t="s">
        <v>311</v>
      </c>
    </row>
    <row r="38" spans="2:2" ht="18.75" x14ac:dyDescent="0.3">
      <c r="B38" s="29" t="s">
        <v>316</v>
      </c>
    </row>
    <row r="39" spans="2:2" ht="33.6" customHeight="1" x14ac:dyDescent="0.25">
      <c r="B39" s="10" t="s">
        <v>317</v>
      </c>
    </row>
    <row r="40" spans="2:2" ht="45" x14ac:dyDescent="0.25">
      <c r="B40" s="10" t="s">
        <v>318</v>
      </c>
    </row>
    <row r="41" spans="2:2" ht="60" x14ac:dyDescent="0.25">
      <c r="B41" s="10" t="s">
        <v>319</v>
      </c>
    </row>
    <row r="43" spans="2:2" ht="18.75" x14ac:dyDescent="0.3">
      <c r="B43" s="29" t="s">
        <v>320</v>
      </c>
    </row>
    <row r="44" spans="2:2" ht="60" x14ac:dyDescent="0.25">
      <c r="B44" s="10" t="s">
        <v>321</v>
      </c>
    </row>
  </sheetData>
  <sheetProtection algorithmName="SHA-512" hashValue="SDq1uiTSubez/g2YRRdiSD9P0zVAPHBfZlHZ1AhsZslU/ZAy10Kdd1OdYhrzM5sexSya2mwq+ET1X1abqmnGqg==" saltValue="FtwbOZpiAX2mH/r59BTWUA==" spinCount="100000" sheet="1" objects="1" scenarios="1"/>
  <hyperlinks>
    <hyperlink ref="B36"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282"/>
  <sheetViews>
    <sheetView topLeftCell="A231" workbookViewId="0">
      <selection activeCell="E174" sqref="E174"/>
    </sheetView>
  </sheetViews>
  <sheetFormatPr defaultRowHeight="15" x14ac:dyDescent="0.25"/>
  <cols>
    <col min="2" max="2" width="30.85546875" customWidth="1"/>
  </cols>
  <sheetData>
    <row r="2" spans="2:3" x14ac:dyDescent="0.25">
      <c r="B2" t="s">
        <v>13</v>
      </c>
    </row>
    <row r="3" spans="2:3" x14ac:dyDescent="0.25">
      <c r="B3" t="s">
        <v>14</v>
      </c>
    </row>
    <row r="5" spans="2:3" x14ac:dyDescent="0.25">
      <c r="B5" t="s">
        <v>49</v>
      </c>
      <c r="C5">
        <v>0</v>
      </c>
    </row>
    <row r="6" spans="2:3" x14ac:dyDescent="0.25">
      <c r="B6" t="s">
        <v>51</v>
      </c>
      <c r="C6">
        <v>2</v>
      </c>
    </row>
    <row r="7" spans="2:3" x14ac:dyDescent="0.25">
      <c r="B7" t="s">
        <v>52</v>
      </c>
      <c r="C7">
        <v>4</v>
      </c>
    </row>
    <row r="8" spans="2:3" x14ac:dyDescent="0.25">
      <c r="B8" t="s">
        <v>53</v>
      </c>
      <c r="C8">
        <v>6</v>
      </c>
    </row>
    <row r="9" spans="2:3" x14ac:dyDescent="0.25">
      <c r="B9" t="s">
        <v>54</v>
      </c>
      <c r="C9">
        <v>8</v>
      </c>
    </row>
    <row r="10" spans="2:3" x14ac:dyDescent="0.25">
      <c r="B10" t="s">
        <v>55</v>
      </c>
      <c r="C10">
        <v>10</v>
      </c>
    </row>
    <row r="11" spans="2:3" x14ac:dyDescent="0.25">
      <c r="B11" t="s">
        <v>384</v>
      </c>
    </row>
    <row r="12" spans="2:3" x14ac:dyDescent="0.25">
      <c r="B12" s="1" t="s">
        <v>363</v>
      </c>
    </row>
    <row r="13" spans="2:3" x14ac:dyDescent="0.25">
      <c r="B13" t="s">
        <v>368</v>
      </c>
      <c r="C13">
        <v>0</v>
      </c>
    </row>
    <row r="14" spans="2:3" x14ac:dyDescent="0.25">
      <c r="B14" t="s">
        <v>364</v>
      </c>
      <c r="C14">
        <v>0</v>
      </c>
    </row>
    <row r="15" spans="2:3" x14ac:dyDescent="0.25">
      <c r="B15" t="s">
        <v>365</v>
      </c>
      <c r="C15">
        <v>2</v>
      </c>
    </row>
    <row r="16" spans="2:3" x14ac:dyDescent="0.25">
      <c r="B16" t="s">
        <v>366</v>
      </c>
      <c r="C16">
        <v>4</v>
      </c>
    </row>
    <row r="17" spans="2:3" x14ac:dyDescent="0.25">
      <c r="B17" t="s">
        <v>369</v>
      </c>
      <c r="C17">
        <v>6</v>
      </c>
    </row>
    <row r="18" spans="2:3" x14ac:dyDescent="0.25">
      <c r="B18" t="s">
        <v>367</v>
      </c>
      <c r="C18">
        <v>7</v>
      </c>
    </row>
    <row r="20" spans="2:3" x14ac:dyDescent="0.25">
      <c r="B20" t="s">
        <v>75</v>
      </c>
      <c r="C20">
        <v>20</v>
      </c>
    </row>
    <row r="21" spans="2:3" x14ac:dyDescent="0.25">
      <c r="B21" t="s">
        <v>58</v>
      </c>
      <c r="C21">
        <v>17</v>
      </c>
    </row>
    <row r="22" spans="2:3" x14ac:dyDescent="0.25">
      <c r="B22" t="s">
        <v>59</v>
      </c>
      <c r="C22">
        <v>15</v>
      </c>
    </row>
    <row r="23" spans="2:3" x14ac:dyDescent="0.25">
      <c r="B23" t="s">
        <v>348</v>
      </c>
      <c r="C23">
        <v>13</v>
      </c>
    </row>
    <row r="24" spans="2:3" x14ac:dyDescent="0.25">
      <c r="B24" t="s">
        <v>60</v>
      </c>
      <c r="C24">
        <v>12</v>
      </c>
    </row>
    <row r="25" spans="2:3" x14ac:dyDescent="0.25">
      <c r="B25" t="s">
        <v>61</v>
      </c>
      <c r="C25">
        <v>10</v>
      </c>
    </row>
    <row r="26" spans="2:3" x14ac:dyDescent="0.25">
      <c r="B26" t="s">
        <v>62</v>
      </c>
      <c r="C26">
        <v>5</v>
      </c>
    </row>
    <row r="27" spans="2:3" x14ac:dyDescent="0.25">
      <c r="B27" t="s">
        <v>349</v>
      </c>
      <c r="C27">
        <v>0</v>
      </c>
    </row>
    <row r="29" spans="2:3" x14ac:dyDescent="0.25">
      <c r="B29" t="s">
        <v>49</v>
      </c>
      <c r="C29">
        <v>10</v>
      </c>
    </row>
    <row r="30" spans="2:3" x14ac:dyDescent="0.25">
      <c r="B30" t="s">
        <v>51</v>
      </c>
      <c r="C30">
        <v>8</v>
      </c>
    </row>
    <row r="31" spans="2:3" x14ac:dyDescent="0.25">
      <c r="B31" t="s">
        <v>52</v>
      </c>
      <c r="C31">
        <v>6</v>
      </c>
    </row>
    <row r="32" spans="2:3" x14ac:dyDescent="0.25">
      <c r="B32" t="s">
        <v>53</v>
      </c>
      <c r="C32">
        <v>4</v>
      </c>
    </row>
    <row r="33" spans="2:5" x14ac:dyDescent="0.25">
      <c r="B33" t="s">
        <v>63</v>
      </c>
      <c r="C33">
        <v>2</v>
      </c>
    </row>
    <row r="34" spans="2:5" x14ac:dyDescent="0.25">
      <c r="B34" t="s">
        <v>55</v>
      </c>
      <c r="C34">
        <v>0</v>
      </c>
    </row>
    <row r="36" spans="2:5" x14ac:dyDescent="0.25">
      <c r="B36" t="s">
        <v>71</v>
      </c>
      <c r="C36">
        <v>5</v>
      </c>
      <c r="D36">
        <v>15</v>
      </c>
      <c r="E36">
        <v>10</v>
      </c>
    </row>
    <row r="37" spans="2:5" x14ac:dyDescent="0.25">
      <c r="B37" t="s">
        <v>72</v>
      </c>
      <c r="C37">
        <v>3</v>
      </c>
      <c r="D37">
        <v>10</v>
      </c>
      <c r="E37">
        <v>7</v>
      </c>
    </row>
    <row r="38" spans="2:5" x14ac:dyDescent="0.25">
      <c r="B38" t="s">
        <v>74</v>
      </c>
      <c r="C38">
        <v>1</v>
      </c>
      <c r="D38">
        <v>5</v>
      </c>
      <c r="E38">
        <v>3</v>
      </c>
    </row>
    <row r="39" spans="2:5" x14ac:dyDescent="0.25">
      <c r="B39" t="s">
        <v>14</v>
      </c>
      <c r="C39">
        <v>0</v>
      </c>
      <c r="D39">
        <v>0</v>
      </c>
      <c r="E39">
        <v>0</v>
      </c>
    </row>
    <row r="40" spans="2:5" x14ac:dyDescent="0.25">
      <c r="B40" t="s">
        <v>73</v>
      </c>
      <c r="C40">
        <v>0</v>
      </c>
    </row>
    <row r="42" spans="2:5" x14ac:dyDescent="0.25">
      <c r="B42" t="s">
        <v>13</v>
      </c>
      <c r="C42">
        <v>20</v>
      </c>
    </row>
    <row r="43" spans="2:5" x14ac:dyDescent="0.25">
      <c r="B43" t="s">
        <v>80</v>
      </c>
      <c r="C43">
        <v>10</v>
      </c>
    </row>
    <row r="44" spans="2:5" x14ac:dyDescent="0.25">
      <c r="B44" t="s">
        <v>14</v>
      </c>
      <c r="C44">
        <v>0</v>
      </c>
    </row>
    <row r="45" spans="2:5" x14ac:dyDescent="0.25">
      <c r="B45" t="s">
        <v>81</v>
      </c>
      <c r="C45">
        <v>0</v>
      </c>
    </row>
    <row r="47" spans="2:5" x14ac:dyDescent="0.25">
      <c r="B47" t="s">
        <v>84</v>
      </c>
      <c r="C47">
        <v>10</v>
      </c>
    </row>
    <row r="48" spans="2:5" x14ac:dyDescent="0.25">
      <c r="B48" t="s">
        <v>85</v>
      </c>
      <c r="C48">
        <v>5</v>
      </c>
    </row>
    <row r="49" spans="2:3" x14ac:dyDescent="0.25">
      <c r="B49" t="s">
        <v>86</v>
      </c>
      <c r="C49">
        <v>2</v>
      </c>
    </row>
    <row r="50" spans="2:3" x14ac:dyDescent="0.25">
      <c r="B50" t="s">
        <v>87</v>
      </c>
      <c r="C50">
        <v>0</v>
      </c>
    </row>
    <row r="51" spans="2:3" x14ac:dyDescent="0.25">
      <c r="B51" t="s">
        <v>88</v>
      </c>
      <c r="C51">
        <v>0</v>
      </c>
    </row>
    <row r="52" spans="2:3" x14ac:dyDescent="0.25">
      <c r="B52" t="s">
        <v>81</v>
      </c>
      <c r="C52">
        <v>0</v>
      </c>
    </row>
    <row r="54" spans="2:3" x14ac:dyDescent="0.25">
      <c r="B54" t="s">
        <v>90</v>
      </c>
      <c r="C54">
        <v>20</v>
      </c>
    </row>
    <row r="55" spans="2:3" x14ac:dyDescent="0.25">
      <c r="B55" t="s">
        <v>91</v>
      </c>
      <c r="C55">
        <v>15</v>
      </c>
    </row>
    <row r="56" spans="2:3" x14ac:dyDescent="0.25">
      <c r="B56" t="s">
        <v>92</v>
      </c>
      <c r="C56">
        <v>10</v>
      </c>
    </row>
    <row r="57" spans="2:3" x14ac:dyDescent="0.25">
      <c r="B57" t="s">
        <v>93</v>
      </c>
      <c r="C57">
        <v>5</v>
      </c>
    </row>
    <row r="58" spans="2:3" x14ac:dyDescent="0.25">
      <c r="B58" t="s">
        <v>94</v>
      </c>
      <c r="C58">
        <v>10</v>
      </c>
    </row>
    <row r="59" spans="2:3" x14ac:dyDescent="0.25">
      <c r="B59" t="s">
        <v>95</v>
      </c>
      <c r="C59">
        <v>5</v>
      </c>
    </row>
    <row r="60" spans="2:3" x14ac:dyDescent="0.25">
      <c r="B60" t="s">
        <v>96</v>
      </c>
      <c r="C60">
        <v>0</v>
      </c>
    </row>
    <row r="61" spans="2:3" x14ac:dyDescent="0.25">
      <c r="B61" t="s">
        <v>88</v>
      </c>
      <c r="C61">
        <v>0</v>
      </c>
    </row>
    <row r="62" spans="2:3" x14ac:dyDescent="0.25">
      <c r="B62" t="s">
        <v>97</v>
      </c>
      <c r="C62">
        <v>0</v>
      </c>
    </row>
    <row r="64" spans="2:3" x14ac:dyDescent="0.25">
      <c r="B64" t="s">
        <v>99</v>
      </c>
      <c r="C64">
        <v>20</v>
      </c>
    </row>
    <row r="65" spans="2:3" x14ac:dyDescent="0.25">
      <c r="B65" t="s">
        <v>100</v>
      </c>
      <c r="C65">
        <v>15</v>
      </c>
    </row>
    <row r="66" spans="2:3" x14ac:dyDescent="0.25">
      <c r="B66" t="s">
        <v>101</v>
      </c>
      <c r="C66">
        <v>10</v>
      </c>
    </row>
    <row r="67" spans="2:3" x14ac:dyDescent="0.25">
      <c r="B67" t="s">
        <v>102</v>
      </c>
      <c r="C67">
        <v>7</v>
      </c>
    </row>
    <row r="68" spans="2:3" x14ac:dyDescent="0.25">
      <c r="B68" t="s">
        <v>96</v>
      </c>
      <c r="C68">
        <v>0</v>
      </c>
    </row>
    <row r="69" spans="2:3" x14ac:dyDescent="0.25">
      <c r="B69" t="s">
        <v>97</v>
      </c>
      <c r="C69">
        <v>0</v>
      </c>
    </row>
    <row r="71" spans="2:3" x14ac:dyDescent="0.25">
      <c r="B71" t="s">
        <v>104</v>
      </c>
      <c r="C71">
        <v>20</v>
      </c>
    </row>
    <row r="72" spans="2:3" x14ac:dyDescent="0.25">
      <c r="B72" t="s">
        <v>105</v>
      </c>
      <c r="C72">
        <v>15</v>
      </c>
    </row>
    <row r="73" spans="2:3" x14ac:dyDescent="0.25">
      <c r="B73" t="s">
        <v>106</v>
      </c>
      <c r="C73">
        <v>10</v>
      </c>
    </row>
    <row r="74" spans="2:3" x14ac:dyDescent="0.25">
      <c r="B74" t="s">
        <v>107</v>
      </c>
      <c r="C74">
        <v>12</v>
      </c>
    </row>
    <row r="75" spans="2:3" x14ac:dyDescent="0.25">
      <c r="B75" t="s">
        <v>324</v>
      </c>
      <c r="C75">
        <v>5</v>
      </c>
    </row>
    <row r="76" spans="2:3" x14ac:dyDescent="0.25">
      <c r="B76" t="s">
        <v>108</v>
      </c>
      <c r="C76">
        <v>0</v>
      </c>
    </row>
    <row r="77" spans="2:3" x14ac:dyDescent="0.25">
      <c r="B77" t="s">
        <v>88</v>
      </c>
      <c r="C77">
        <v>0</v>
      </c>
    </row>
    <row r="79" spans="2:3" x14ac:dyDescent="0.25">
      <c r="B79" t="s">
        <v>111</v>
      </c>
      <c r="C79">
        <v>10</v>
      </c>
    </row>
    <row r="80" spans="2:3" x14ac:dyDescent="0.25">
      <c r="B80" t="s">
        <v>80</v>
      </c>
      <c r="C80">
        <v>5</v>
      </c>
    </row>
    <row r="81" spans="2:3" x14ac:dyDescent="0.25">
      <c r="B81" t="s">
        <v>112</v>
      </c>
      <c r="C81">
        <v>0</v>
      </c>
    </row>
    <row r="83" spans="2:3" x14ac:dyDescent="0.25">
      <c r="B83" t="s">
        <v>111</v>
      </c>
      <c r="C83">
        <v>5</v>
      </c>
    </row>
    <row r="84" spans="2:3" x14ac:dyDescent="0.25">
      <c r="B84" t="s">
        <v>80</v>
      </c>
      <c r="C84">
        <v>2</v>
      </c>
    </row>
    <row r="85" spans="2:3" x14ac:dyDescent="0.25">
      <c r="B85" t="s">
        <v>112</v>
      </c>
      <c r="C85">
        <v>0</v>
      </c>
    </row>
    <row r="87" spans="2:3" x14ac:dyDescent="0.25">
      <c r="B87" t="s">
        <v>118</v>
      </c>
      <c r="C87">
        <v>10</v>
      </c>
    </row>
    <row r="88" spans="2:3" x14ac:dyDescent="0.25">
      <c r="B88" t="s">
        <v>117</v>
      </c>
      <c r="C88">
        <v>5</v>
      </c>
    </row>
    <row r="89" spans="2:3" x14ac:dyDescent="0.25">
      <c r="B89" t="s">
        <v>119</v>
      </c>
      <c r="C89">
        <v>3</v>
      </c>
    </row>
    <row r="90" spans="2:3" x14ac:dyDescent="0.25">
      <c r="B90" t="s">
        <v>120</v>
      </c>
      <c r="C90">
        <v>0</v>
      </c>
    </row>
    <row r="91" spans="2:3" x14ac:dyDescent="0.25">
      <c r="B91" t="s">
        <v>121</v>
      </c>
      <c r="C91">
        <v>0</v>
      </c>
    </row>
    <row r="93" spans="2:3" x14ac:dyDescent="0.25">
      <c r="B93" t="s">
        <v>112</v>
      </c>
      <c r="C93">
        <v>10</v>
      </c>
    </row>
    <row r="94" spans="2:3" x14ac:dyDescent="0.25">
      <c r="B94" t="s">
        <v>123</v>
      </c>
      <c r="C94">
        <v>5</v>
      </c>
    </row>
    <row r="95" spans="2:3" x14ac:dyDescent="0.25">
      <c r="B95" t="s">
        <v>124</v>
      </c>
      <c r="C95">
        <v>0</v>
      </c>
    </row>
    <row r="97" spans="2:5" x14ac:dyDescent="0.25">
      <c r="B97" t="s">
        <v>126</v>
      </c>
      <c r="C97">
        <v>10</v>
      </c>
      <c r="D97">
        <v>5</v>
      </c>
      <c r="E97">
        <v>10</v>
      </c>
    </row>
    <row r="98" spans="2:5" x14ac:dyDescent="0.25">
      <c r="B98" t="s">
        <v>127</v>
      </c>
      <c r="C98">
        <v>5</v>
      </c>
      <c r="D98">
        <v>3</v>
      </c>
      <c r="E98">
        <v>7</v>
      </c>
    </row>
    <row r="99" spans="2:5" x14ac:dyDescent="0.25">
      <c r="B99" t="s">
        <v>128</v>
      </c>
      <c r="C99">
        <v>2</v>
      </c>
      <c r="D99">
        <v>1</v>
      </c>
      <c r="E99">
        <v>2</v>
      </c>
    </row>
    <row r="100" spans="2:5" x14ac:dyDescent="0.25">
      <c r="B100" t="s">
        <v>49</v>
      </c>
      <c r="C100">
        <v>0</v>
      </c>
      <c r="D100">
        <v>0</v>
      </c>
      <c r="E100">
        <v>0</v>
      </c>
    </row>
    <row r="102" spans="2:5" x14ac:dyDescent="0.25">
      <c r="B102" t="s">
        <v>138</v>
      </c>
      <c r="C102">
        <v>0</v>
      </c>
    </row>
    <row r="103" spans="2:5" x14ac:dyDescent="0.25">
      <c r="B103" t="s">
        <v>139</v>
      </c>
      <c r="C103">
        <v>4</v>
      </c>
    </row>
    <row r="104" spans="2:5" x14ac:dyDescent="0.25">
      <c r="B104" t="s">
        <v>140</v>
      </c>
      <c r="C104">
        <v>8</v>
      </c>
    </row>
    <row r="105" spans="2:5" x14ac:dyDescent="0.25">
      <c r="B105" t="s">
        <v>141</v>
      </c>
      <c r="C105">
        <v>10</v>
      </c>
    </row>
    <row r="106" spans="2:5" x14ac:dyDescent="0.25">
      <c r="B106" t="s">
        <v>142</v>
      </c>
      <c r="C106">
        <v>20</v>
      </c>
    </row>
    <row r="108" spans="2:5" x14ac:dyDescent="0.25">
      <c r="B108" t="s">
        <v>150</v>
      </c>
      <c r="C108">
        <v>15</v>
      </c>
    </row>
    <row r="109" spans="2:5" x14ac:dyDescent="0.25">
      <c r="B109" t="s">
        <v>146</v>
      </c>
      <c r="C109">
        <v>10</v>
      </c>
    </row>
    <row r="110" spans="2:5" x14ac:dyDescent="0.25">
      <c r="B110" t="s">
        <v>147</v>
      </c>
      <c r="C110">
        <v>7</v>
      </c>
    </row>
    <row r="111" spans="2:5" x14ac:dyDescent="0.25">
      <c r="B111" t="s">
        <v>148</v>
      </c>
      <c r="C111">
        <v>5</v>
      </c>
    </row>
    <row r="112" spans="2:5" x14ac:dyDescent="0.25">
      <c r="B112" t="s">
        <v>149</v>
      </c>
      <c r="C112">
        <v>2</v>
      </c>
    </row>
    <row r="113" spans="2:4" x14ac:dyDescent="0.25">
      <c r="B113" t="s">
        <v>151</v>
      </c>
      <c r="C113">
        <v>0</v>
      </c>
    </row>
    <row r="115" spans="2:4" x14ac:dyDescent="0.25">
      <c r="B115" t="s">
        <v>71</v>
      </c>
      <c r="C115">
        <v>10</v>
      </c>
    </row>
    <row r="116" spans="2:4" x14ac:dyDescent="0.25">
      <c r="B116" t="s">
        <v>72</v>
      </c>
      <c r="C116">
        <v>8</v>
      </c>
    </row>
    <row r="117" spans="2:4" x14ac:dyDescent="0.25">
      <c r="B117" t="s">
        <v>74</v>
      </c>
      <c r="C117">
        <v>3</v>
      </c>
    </row>
    <row r="118" spans="2:4" x14ac:dyDescent="0.25">
      <c r="B118" t="s">
        <v>14</v>
      </c>
      <c r="C118">
        <v>0</v>
      </c>
    </row>
    <row r="120" spans="2:4" x14ac:dyDescent="0.25">
      <c r="B120" t="s">
        <v>155</v>
      </c>
      <c r="C120">
        <v>10</v>
      </c>
      <c r="D120">
        <v>20</v>
      </c>
    </row>
    <row r="121" spans="2:4" x14ac:dyDescent="0.25">
      <c r="B121" t="s">
        <v>156</v>
      </c>
      <c r="C121">
        <v>6</v>
      </c>
      <c r="D121">
        <v>12</v>
      </c>
    </row>
    <row r="122" spans="2:4" x14ac:dyDescent="0.25">
      <c r="B122" t="s">
        <v>49</v>
      </c>
      <c r="C122">
        <v>0</v>
      </c>
      <c r="D122">
        <v>0</v>
      </c>
    </row>
    <row r="124" spans="2:4" x14ac:dyDescent="0.25">
      <c r="B124" t="s">
        <v>155</v>
      </c>
    </row>
    <row r="125" spans="2:4" x14ac:dyDescent="0.25">
      <c r="B125" t="s">
        <v>156</v>
      </c>
    </row>
    <row r="126" spans="2:4" x14ac:dyDescent="0.25">
      <c r="B126" t="s">
        <v>49</v>
      </c>
    </row>
    <row r="128" spans="2:4" x14ac:dyDescent="0.25">
      <c r="B128" t="s">
        <v>377</v>
      </c>
      <c r="C128">
        <v>8</v>
      </c>
    </row>
    <row r="129" spans="2:3" x14ac:dyDescent="0.25">
      <c r="B129" t="s">
        <v>162</v>
      </c>
      <c r="C129">
        <v>5</v>
      </c>
    </row>
    <row r="130" spans="2:3" x14ac:dyDescent="0.25">
      <c r="B130" t="s">
        <v>163</v>
      </c>
      <c r="C130">
        <v>0</v>
      </c>
    </row>
    <row r="132" spans="2:3" x14ac:dyDescent="0.25">
      <c r="B132" t="s">
        <v>172</v>
      </c>
      <c r="C132">
        <v>25</v>
      </c>
    </row>
    <row r="133" spans="2:3" x14ac:dyDescent="0.25">
      <c r="B133" t="s">
        <v>52</v>
      </c>
      <c r="C133">
        <v>20</v>
      </c>
    </row>
    <row r="134" spans="2:3" x14ac:dyDescent="0.25">
      <c r="B134" t="s">
        <v>169</v>
      </c>
      <c r="C134">
        <v>10</v>
      </c>
    </row>
    <row r="135" spans="2:3" x14ac:dyDescent="0.25">
      <c r="B135" t="s">
        <v>170</v>
      </c>
      <c r="C135">
        <v>5</v>
      </c>
    </row>
    <row r="136" spans="2:3" x14ac:dyDescent="0.25">
      <c r="B136" t="s">
        <v>171</v>
      </c>
      <c r="C136">
        <v>0</v>
      </c>
    </row>
    <row r="137" spans="2:3" x14ac:dyDescent="0.25">
      <c r="B137" s="1" t="s">
        <v>176</v>
      </c>
    </row>
    <row r="138" spans="2:3" x14ac:dyDescent="0.25">
      <c r="B138" t="s">
        <v>176</v>
      </c>
      <c r="C138">
        <v>10</v>
      </c>
    </row>
    <row r="139" spans="2:3" x14ac:dyDescent="0.25">
      <c r="B139" t="s">
        <v>128</v>
      </c>
      <c r="C139">
        <v>5</v>
      </c>
    </row>
    <row r="140" spans="2:3" x14ac:dyDescent="0.25">
      <c r="B140" t="s">
        <v>49</v>
      </c>
      <c r="C140">
        <v>0</v>
      </c>
    </row>
    <row r="141" spans="2:3" x14ac:dyDescent="0.25">
      <c r="B141" s="1" t="s">
        <v>181</v>
      </c>
    </row>
    <row r="142" spans="2:3" x14ac:dyDescent="0.25">
      <c r="B142" t="s">
        <v>111</v>
      </c>
      <c r="C142">
        <v>20</v>
      </c>
    </row>
    <row r="143" spans="2:3" x14ac:dyDescent="0.25">
      <c r="B143" t="s">
        <v>177</v>
      </c>
      <c r="C143">
        <v>10</v>
      </c>
    </row>
    <row r="144" spans="2:3" x14ac:dyDescent="0.25">
      <c r="B144" t="s">
        <v>80</v>
      </c>
      <c r="C144">
        <v>5</v>
      </c>
    </row>
    <row r="145" spans="2:3" x14ac:dyDescent="0.25">
      <c r="B145" t="s">
        <v>112</v>
      </c>
      <c r="C145">
        <v>0</v>
      </c>
    </row>
    <row r="146" spans="2:3" x14ac:dyDescent="0.25">
      <c r="B146" s="1" t="s">
        <v>180</v>
      </c>
    </row>
    <row r="147" spans="2:3" x14ac:dyDescent="0.25">
      <c r="B147" t="s">
        <v>13</v>
      </c>
      <c r="C147">
        <v>10</v>
      </c>
    </row>
    <row r="148" spans="2:3" x14ac:dyDescent="0.25">
      <c r="B148" t="s">
        <v>14</v>
      </c>
      <c r="C148">
        <v>0</v>
      </c>
    </row>
    <row r="149" spans="2:3" x14ac:dyDescent="0.25">
      <c r="B149" t="s">
        <v>179</v>
      </c>
      <c r="C149">
        <v>0</v>
      </c>
    </row>
    <row r="151" spans="2:3" x14ac:dyDescent="0.25">
      <c r="B151" s="1" t="s">
        <v>204</v>
      </c>
    </row>
    <row r="152" spans="2:3" x14ac:dyDescent="0.25">
      <c r="B152">
        <v>0</v>
      </c>
      <c r="C152">
        <v>20</v>
      </c>
    </row>
    <row r="153" spans="2:3" x14ac:dyDescent="0.25">
      <c r="B153" t="s">
        <v>205</v>
      </c>
      <c r="C153">
        <v>7</v>
      </c>
    </row>
    <row r="154" spans="2:3" x14ac:dyDescent="0.25">
      <c r="B154" t="s">
        <v>206</v>
      </c>
      <c r="C154">
        <v>5</v>
      </c>
    </row>
    <row r="155" spans="2:3" x14ac:dyDescent="0.25">
      <c r="B155">
        <v>1</v>
      </c>
      <c r="C155">
        <v>2</v>
      </c>
    </row>
    <row r="156" spans="2:3" x14ac:dyDescent="0.25">
      <c r="B156" t="s">
        <v>207</v>
      </c>
      <c r="C156">
        <v>0</v>
      </c>
    </row>
    <row r="157" spans="2:3" x14ac:dyDescent="0.25">
      <c r="B157" s="1" t="s">
        <v>209</v>
      </c>
    </row>
    <row r="158" spans="2:3" x14ac:dyDescent="0.25">
      <c r="B158" t="s">
        <v>13</v>
      </c>
      <c r="C158">
        <v>10</v>
      </c>
    </row>
    <row r="159" spans="2:3" x14ac:dyDescent="0.25">
      <c r="B159" t="s">
        <v>14</v>
      </c>
      <c r="C159">
        <v>0</v>
      </c>
    </row>
    <row r="160" spans="2:3" x14ac:dyDescent="0.25">
      <c r="B160" t="s">
        <v>208</v>
      </c>
      <c r="C160">
        <v>0</v>
      </c>
    </row>
    <row r="162" spans="2:4" x14ac:dyDescent="0.25">
      <c r="B162" s="1" t="s">
        <v>204</v>
      </c>
    </row>
    <row r="163" spans="2:4" x14ac:dyDescent="0.25">
      <c r="B163">
        <v>0</v>
      </c>
      <c r="C163">
        <v>20</v>
      </c>
    </row>
    <row r="164" spans="2:4" x14ac:dyDescent="0.25">
      <c r="B164" t="s">
        <v>211</v>
      </c>
      <c r="C164">
        <v>10</v>
      </c>
    </row>
    <row r="165" spans="2:4" x14ac:dyDescent="0.25">
      <c r="B165" t="s">
        <v>212</v>
      </c>
      <c r="C165">
        <v>5</v>
      </c>
    </row>
    <row r="166" spans="2:4" x14ac:dyDescent="0.25">
      <c r="B166" t="s">
        <v>213</v>
      </c>
      <c r="C166">
        <v>0</v>
      </c>
    </row>
    <row r="168" spans="2:4" x14ac:dyDescent="0.25">
      <c r="B168" s="1" t="s">
        <v>221</v>
      </c>
    </row>
    <row r="169" spans="2:4" x14ac:dyDescent="0.25">
      <c r="B169" t="s">
        <v>215</v>
      </c>
      <c r="C169">
        <v>15</v>
      </c>
      <c r="D169">
        <v>0.2</v>
      </c>
    </row>
    <row r="170" spans="2:4" x14ac:dyDescent="0.25">
      <c r="B170" t="s">
        <v>216</v>
      </c>
      <c r="C170">
        <v>10</v>
      </c>
      <c r="D170">
        <v>0.7</v>
      </c>
    </row>
    <row r="171" spans="2:4" x14ac:dyDescent="0.25">
      <c r="B171" t="s">
        <v>217</v>
      </c>
      <c r="C171">
        <v>7</v>
      </c>
      <c r="D171">
        <v>1</v>
      </c>
    </row>
    <row r="172" spans="2:4" x14ac:dyDescent="0.25">
      <c r="B172" t="s">
        <v>385</v>
      </c>
      <c r="C172">
        <v>3</v>
      </c>
      <c r="D172">
        <v>2</v>
      </c>
    </row>
    <row r="173" spans="2:4" x14ac:dyDescent="0.25">
      <c r="B173" t="s">
        <v>386</v>
      </c>
      <c r="C173">
        <v>0</v>
      </c>
      <c r="D173">
        <v>3</v>
      </c>
    </row>
    <row r="174" spans="2:4" x14ac:dyDescent="0.25">
      <c r="B174" t="s">
        <v>220</v>
      </c>
      <c r="C174">
        <v>0</v>
      </c>
    </row>
    <row r="175" spans="2:4" x14ac:dyDescent="0.25">
      <c r="B175" s="1" t="s">
        <v>222</v>
      </c>
    </row>
    <row r="176" spans="2:4" x14ac:dyDescent="0.25">
      <c r="B176">
        <v>0</v>
      </c>
      <c r="C176">
        <v>0</v>
      </c>
    </row>
    <row r="177" spans="2:3" x14ac:dyDescent="0.25">
      <c r="B177" t="s">
        <v>224</v>
      </c>
      <c r="C177">
        <v>20</v>
      </c>
    </row>
    <row r="178" spans="2:3" x14ac:dyDescent="0.25">
      <c r="B178" t="s">
        <v>284</v>
      </c>
      <c r="C178">
        <v>15</v>
      </c>
    </row>
    <row r="179" spans="2:3" x14ac:dyDescent="0.25">
      <c r="B179" t="s">
        <v>285</v>
      </c>
      <c r="C179">
        <v>10</v>
      </c>
    </row>
    <row r="180" spans="2:3" x14ac:dyDescent="0.25">
      <c r="B180" t="s">
        <v>283</v>
      </c>
      <c r="C180">
        <v>5</v>
      </c>
    </row>
    <row r="181" spans="2:3" x14ac:dyDescent="0.25">
      <c r="B181" t="s">
        <v>223</v>
      </c>
      <c r="C181">
        <v>3</v>
      </c>
    </row>
    <row r="182" spans="2:3" x14ac:dyDescent="0.25">
      <c r="B182" t="s">
        <v>225</v>
      </c>
      <c r="C182">
        <v>2</v>
      </c>
    </row>
    <row r="183" spans="2:3" x14ac:dyDescent="0.25">
      <c r="B183" t="s">
        <v>227</v>
      </c>
      <c r="C183">
        <v>1</v>
      </c>
    </row>
    <row r="184" spans="2:3" x14ac:dyDescent="0.25">
      <c r="B184" t="s">
        <v>226</v>
      </c>
      <c r="C184">
        <v>0</v>
      </c>
    </row>
    <row r="186" spans="2:3" x14ac:dyDescent="0.25">
      <c r="B186" s="1" t="s">
        <v>229</v>
      </c>
    </row>
    <row r="187" spans="2:3" x14ac:dyDescent="0.25">
      <c r="B187" t="s">
        <v>228</v>
      </c>
      <c r="C187">
        <v>0.6</v>
      </c>
    </row>
    <row r="188" spans="2:3" x14ac:dyDescent="0.25">
      <c r="B188" t="s">
        <v>230</v>
      </c>
      <c r="C188">
        <v>0.3</v>
      </c>
    </row>
    <row r="190" spans="2:3" x14ac:dyDescent="0.25">
      <c r="B190" s="1" t="s">
        <v>233</v>
      </c>
    </row>
    <row r="191" spans="2:3" x14ac:dyDescent="0.25">
      <c r="B191" t="s">
        <v>49</v>
      </c>
      <c r="C191">
        <v>0</v>
      </c>
    </row>
    <row r="192" spans="2:3" x14ac:dyDescent="0.25">
      <c r="B192" t="s">
        <v>234</v>
      </c>
      <c r="C192">
        <v>1</v>
      </c>
    </row>
    <row r="193" spans="2:3" x14ac:dyDescent="0.25">
      <c r="B193" t="s">
        <v>74</v>
      </c>
      <c r="C193">
        <v>5</v>
      </c>
    </row>
    <row r="194" spans="2:3" x14ac:dyDescent="0.25">
      <c r="B194" t="s">
        <v>235</v>
      </c>
      <c r="C194">
        <v>10</v>
      </c>
    </row>
    <row r="195" spans="2:3" x14ac:dyDescent="0.25">
      <c r="B195" t="s">
        <v>71</v>
      </c>
      <c r="C195">
        <v>15</v>
      </c>
    </row>
    <row r="196" spans="2:3" x14ac:dyDescent="0.25">
      <c r="B196" t="s">
        <v>236</v>
      </c>
      <c r="C196">
        <v>0</v>
      </c>
    </row>
    <row r="198" spans="2:3" x14ac:dyDescent="0.25">
      <c r="B198" s="1" t="s">
        <v>238</v>
      </c>
    </row>
    <row r="199" spans="2:3" x14ac:dyDescent="0.25">
      <c r="B199" t="s">
        <v>13</v>
      </c>
      <c r="C199">
        <v>0</v>
      </c>
    </row>
    <row r="200" spans="2:3" x14ac:dyDescent="0.25">
      <c r="B200" t="s">
        <v>14</v>
      </c>
      <c r="C200">
        <v>20</v>
      </c>
    </row>
    <row r="202" spans="2:3" x14ac:dyDescent="0.25">
      <c r="B202" s="1" t="s">
        <v>240</v>
      </c>
    </row>
    <row r="203" spans="2:3" x14ac:dyDescent="0.25">
      <c r="B203">
        <v>0</v>
      </c>
      <c r="C203">
        <v>0</v>
      </c>
    </row>
    <row r="204" spans="2:3" x14ac:dyDescent="0.25">
      <c r="B204" t="s">
        <v>241</v>
      </c>
      <c r="C204">
        <v>-20</v>
      </c>
    </row>
    <row r="205" spans="2:3" x14ac:dyDescent="0.25">
      <c r="B205" t="s">
        <v>242</v>
      </c>
      <c r="C205">
        <v>-40</v>
      </c>
    </row>
    <row r="206" spans="2:3" x14ac:dyDescent="0.25">
      <c r="B206" t="s">
        <v>243</v>
      </c>
      <c r="C206">
        <v>-60</v>
      </c>
    </row>
    <row r="207" spans="2:3" x14ac:dyDescent="0.25">
      <c r="B207" t="s">
        <v>244</v>
      </c>
      <c r="C207">
        <v>-80</v>
      </c>
    </row>
    <row r="208" spans="2:3" x14ac:dyDescent="0.25">
      <c r="B208" t="s">
        <v>245</v>
      </c>
      <c r="C208">
        <v>-110</v>
      </c>
    </row>
    <row r="209" spans="2:4" x14ac:dyDescent="0.25">
      <c r="B209" t="s">
        <v>246</v>
      </c>
      <c r="C209">
        <v>-150</v>
      </c>
    </row>
    <row r="210" spans="2:4" x14ac:dyDescent="0.25">
      <c r="B210" t="s">
        <v>247</v>
      </c>
      <c r="C210">
        <v>-190</v>
      </c>
    </row>
    <row r="211" spans="2:4" x14ac:dyDescent="0.25">
      <c r="B211" t="s">
        <v>248</v>
      </c>
      <c r="C211">
        <v>-230</v>
      </c>
    </row>
    <row r="212" spans="2:4" x14ac:dyDescent="0.25">
      <c r="B212" t="s">
        <v>249</v>
      </c>
      <c r="C212">
        <v>-270</v>
      </c>
    </row>
    <row r="214" spans="2:4" x14ac:dyDescent="0.25">
      <c r="B214" s="1" t="s">
        <v>250</v>
      </c>
    </row>
    <row r="215" spans="2:4" x14ac:dyDescent="0.25">
      <c r="B215" t="s">
        <v>251</v>
      </c>
      <c r="C215">
        <v>1</v>
      </c>
      <c r="D215">
        <v>0</v>
      </c>
    </row>
    <row r="216" spans="2:4" x14ac:dyDescent="0.25">
      <c r="B216" t="s">
        <v>252</v>
      </c>
      <c r="C216">
        <v>1.2</v>
      </c>
      <c r="D216">
        <v>-5</v>
      </c>
    </row>
    <row r="217" spans="2:4" x14ac:dyDescent="0.25">
      <c r="B217" t="s">
        <v>253</v>
      </c>
      <c r="C217">
        <v>2</v>
      </c>
      <c r="D217">
        <v>-10</v>
      </c>
    </row>
    <row r="218" spans="2:4" x14ac:dyDescent="0.25">
      <c r="B218" t="s">
        <v>254</v>
      </c>
      <c r="C218">
        <v>3</v>
      </c>
      <c r="D218">
        <v>-15</v>
      </c>
    </row>
    <row r="219" spans="2:4" x14ac:dyDescent="0.25">
      <c r="B219" t="s">
        <v>255</v>
      </c>
      <c r="C219">
        <v>0</v>
      </c>
      <c r="D219">
        <v>0</v>
      </c>
    </row>
    <row r="221" spans="2:4" x14ac:dyDescent="0.25">
      <c r="B221" s="1" t="s">
        <v>257</v>
      </c>
    </row>
    <row r="222" spans="2:4" x14ac:dyDescent="0.25">
      <c r="B222" t="s">
        <v>258</v>
      </c>
      <c r="C222">
        <v>0</v>
      </c>
    </row>
    <row r="223" spans="2:4" x14ac:dyDescent="0.25">
      <c r="B223" t="s">
        <v>259</v>
      </c>
      <c r="C223">
        <v>0.4</v>
      </c>
    </row>
    <row r="224" spans="2:4" x14ac:dyDescent="0.25">
      <c r="B224" t="s">
        <v>260</v>
      </c>
      <c r="C224">
        <v>0.8</v>
      </c>
    </row>
    <row r="225" spans="2:3" x14ac:dyDescent="0.25">
      <c r="B225" t="s">
        <v>81</v>
      </c>
      <c r="C225">
        <v>0</v>
      </c>
    </row>
    <row r="227" spans="2:3" x14ac:dyDescent="0.25">
      <c r="B227" s="1" t="s">
        <v>261</v>
      </c>
    </row>
    <row r="228" spans="2:3" x14ac:dyDescent="0.25">
      <c r="B228" t="s">
        <v>81</v>
      </c>
      <c r="C228">
        <v>0</v>
      </c>
    </row>
    <row r="229" spans="2:3" x14ac:dyDescent="0.25">
      <c r="B229" t="s">
        <v>112</v>
      </c>
      <c r="C229">
        <v>0</v>
      </c>
    </row>
    <row r="230" spans="2:3" x14ac:dyDescent="0.25">
      <c r="B230" t="s">
        <v>80</v>
      </c>
      <c r="C230">
        <v>0.4</v>
      </c>
    </row>
    <row r="231" spans="2:3" x14ac:dyDescent="0.25">
      <c r="B231" t="s">
        <v>111</v>
      </c>
      <c r="C231">
        <v>0.8</v>
      </c>
    </row>
    <row r="233" spans="2:3" x14ac:dyDescent="0.25">
      <c r="B233" s="1" t="s">
        <v>276</v>
      </c>
    </row>
    <row r="234" spans="2:3" x14ac:dyDescent="0.25">
      <c r="B234" t="s">
        <v>272</v>
      </c>
      <c r="C234">
        <v>0</v>
      </c>
    </row>
    <row r="235" spans="2:3" x14ac:dyDescent="0.25">
      <c r="B235" t="s">
        <v>273</v>
      </c>
      <c r="C235">
        <v>0.8</v>
      </c>
    </row>
    <row r="236" spans="2:3" x14ac:dyDescent="0.25">
      <c r="B236" t="s">
        <v>275</v>
      </c>
      <c r="C236">
        <v>0.5</v>
      </c>
    </row>
    <row r="237" spans="2:3" x14ac:dyDescent="0.25">
      <c r="B237" t="s">
        <v>274</v>
      </c>
      <c r="C237">
        <v>0.8</v>
      </c>
    </row>
    <row r="238" spans="2:3" x14ac:dyDescent="0.25">
      <c r="B238" t="s">
        <v>81</v>
      </c>
      <c r="C238">
        <v>0</v>
      </c>
    </row>
    <row r="240" spans="2:3" x14ac:dyDescent="0.25">
      <c r="B240" s="1" t="s">
        <v>279</v>
      </c>
    </row>
    <row r="241" spans="2:3" x14ac:dyDescent="0.25">
      <c r="B241" t="s">
        <v>272</v>
      </c>
      <c r="C241">
        <v>0</v>
      </c>
    </row>
    <row r="242" spans="2:3" x14ac:dyDescent="0.25">
      <c r="B242" t="s">
        <v>280</v>
      </c>
      <c r="C242">
        <v>0.5</v>
      </c>
    </row>
    <row r="243" spans="2:3" x14ac:dyDescent="0.25">
      <c r="B243" t="s">
        <v>81</v>
      </c>
      <c r="C243">
        <v>0</v>
      </c>
    </row>
    <row r="245" spans="2:3" x14ac:dyDescent="0.25">
      <c r="B245" s="1" t="s">
        <v>325</v>
      </c>
    </row>
    <row r="246" spans="2:3" x14ac:dyDescent="0.25">
      <c r="B246" t="s">
        <v>326</v>
      </c>
      <c r="C246">
        <v>5</v>
      </c>
    </row>
    <row r="247" spans="2:3" x14ac:dyDescent="0.25">
      <c r="B247" t="s">
        <v>327</v>
      </c>
      <c r="C247">
        <v>10</v>
      </c>
    </row>
    <row r="248" spans="2:3" x14ac:dyDescent="0.25">
      <c r="B248" t="s">
        <v>14</v>
      </c>
      <c r="C248">
        <v>0</v>
      </c>
    </row>
    <row r="249" spans="2:3" x14ac:dyDescent="0.25">
      <c r="B249" s="1" t="s">
        <v>345</v>
      </c>
    </row>
    <row r="250" spans="2:3" x14ac:dyDescent="0.25">
      <c r="B250" t="s">
        <v>335</v>
      </c>
      <c r="C250">
        <v>10</v>
      </c>
    </row>
    <row r="251" spans="2:3" x14ac:dyDescent="0.25">
      <c r="B251" t="s">
        <v>336</v>
      </c>
      <c r="C251">
        <v>8</v>
      </c>
    </row>
    <row r="252" spans="2:3" x14ac:dyDescent="0.25">
      <c r="B252" t="s">
        <v>337</v>
      </c>
      <c r="C252">
        <v>5</v>
      </c>
    </row>
    <row r="253" spans="2:3" x14ac:dyDescent="0.25">
      <c r="B253" t="s">
        <v>340</v>
      </c>
      <c r="C253">
        <v>0</v>
      </c>
    </row>
    <row r="254" spans="2:3" x14ac:dyDescent="0.25">
      <c r="B254" t="s">
        <v>338</v>
      </c>
      <c r="C254">
        <v>9</v>
      </c>
    </row>
    <row r="255" spans="2:3" x14ac:dyDescent="0.25">
      <c r="B255" t="s">
        <v>339</v>
      </c>
      <c r="C255">
        <v>7</v>
      </c>
    </row>
    <row r="256" spans="2:3" x14ac:dyDescent="0.25">
      <c r="B256" t="s">
        <v>341</v>
      </c>
      <c r="C256">
        <v>6</v>
      </c>
    </row>
    <row r="257" spans="1:9" x14ac:dyDescent="0.25">
      <c r="B257" t="s">
        <v>342</v>
      </c>
      <c r="C257">
        <v>4</v>
      </c>
    </row>
    <row r="258" spans="1:9" x14ac:dyDescent="0.25">
      <c r="B258" t="s">
        <v>343</v>
      </c>
      <c r="C258">
        <v>3</v>
      </c>
    </row>
    <row r="259" spans="1:9" x14ac:dyDescent="0.25">
      <c r="B259" t="s">
        <v>344</v>
      </c>
      <c r="C259">
        <v>1</v>
      </c>
    </row>
    <row r="260" spans="1:9" x14ac:dyDescent="0.25">
      <c r="B260" t="s">
        <v>379</v>
      </c>
      <c r="C260">
        <v>0</v>
      </c>
    </row>
    <row r="261" spans="1:9" x14ac:dyDescent="0.25">
      <c r="B261" s="1" t="s">
        <v>350</v>
      </c>
    </row>
    <row r="262" spans="1:9" x14ac:dyDescent="0.25">
      <c r="C262" t="s">
        <v>351</v>
      </c>
      <c r="D262" t="s">
        <v>352</v>
      </c>
      <c r="E262" t="s">
        <v>353</v>
      </c>
      <c r="F262" t="s">
        <v>354</v>
      </c>
      <c r="G262" t="s">
        <v>355</v>
      </c>
    </row>
    <row r="263" spans="1:9" x14ac:dyDescent="0.25">
      <c r="A263">
        <v>0</v>
      </c>
      <c r="B263" s="36">
        <v>0</v>
      </c>
      <c r="C263">
        <v>0</v>
      </c>
      <c r="D263">
        <f t="shared" ref="D263:D272" si="0">-15*B263</f>
        <v>0</v>
      </c>
      <c r="E263" s="17">
        <f t="shared" ref="E263:E272" si="1">-20*B263</f>
        <v>0</v>
      </c>
      <c r="F263">
        <f t="shared" ref="F263:F272" si="2">-80*(B263)</f>
        <v>0</v>
      </c>
      <c r="G263" s="17">
        <f t="shared" ref="G263:G272" si="3">-60*B263</f>
        <v>0</v>
      </c>
      <c r="I263" s="17"/>
    </row>
    <row r="264" spans="1:9" x14ac:dyDescent="0.25">
      <c r="A264">
        <v>0.1</v>
      </c>
      <c r="B264" s="36">
        <v>0.1</v>
      </c>
      <c r="C264">
        <v>0</v>
      </c>
      <c r="D264">
        <f t="shared" si="0"/>
        <v>-1.5</v>
      </c>
      <c r="E264" s="17">
        <f t="shared" si="1"/>
        <v>-2</v>
      </c>
      <c r="F264">
        <f t="shared" si="2"/>
        <v>-8</v>
      </c>
      <c r="G264" s="17">
        <f t="shared" si="3"/>
        <v>-6</v>
      </c>
    </row>
    <row r="265" spans="1:9" x14ac:dyDescent="0.25">
      <c r="A265">
        <v>0.2</v>
      </c>
      <c r="B265" s="36">
        <v>0.2</v>
      </c>
      <c r="C265">
        <v>0</v>
      </c>
      <c r="D265">
        <f t="shared" si="0"/>
        <v>-3</v>
      </c>
      <c r="E265" s="17">
        <f t="shared" si="1"/>
        <v>-4</v>
      </c>
      <c r="F265">
        <f t="shared" si="2"/>
        <v>-16</v>
      </c>
      <c r="G265" s="17">
        <f t="shared" si="3"/>
        <v>-12</v>
      </c>
    </row>
    <row r="266" spans="1:9" x14ac:dyDescent="0.25">
      <c r="A266">
        <v>0.3</v>
      </c>
      <c r="B266" s="36">
        <v>0.3</v>
      </c>
      <c r="C266">
        <v>0</v>
      </c>
      <c r="D266">
        <f t="shared" si="0"/>
        <v>-4.5</v>
      </c>
      <c r="E266" s="17">
        <f t="shared" si="1"/>
        <v>-6</v>
      </c>
      <c r="F266">
        <f t="shared" si="2"/>
        <v>-24</v>
      </c>
      <c r="G266" s="17">
        <f t="shared" si="3"/>
        <v>-18</v>
      </c>
    </row>
    <row r="267" spans="1:9" x14ac:dyDescent="0.25">
      <c r="A267">
        <v>0.4</v>
      </c>
      <c r="B267" s="36">
        <v>0.4</v>
      </c>
      <c r="C267">
        <v>0</v>
      </c>
      <c r="D267">
        <f t="shared" si="0"/>
        <v>-6</v>
      </c>
      <c r="E267" s="17">
        <f t="shared" si="1"/>
        <v>-8</v>
      </c>
      <c r="F267">
        <f t="shared" si="2"/>
        <v>-32</v>
      </c>
      <c r="G267" s="17">
        <f t="shared" si="3"/>
        <v>-24</v>
      </c>
    </row>
    <row r="268" spans="1:9" x14ac:dyDescent="0.25">
      <c r="A268">
        <v>0.5</v>
      </c>
      <c r="B268" s="36">
        <v>0.5</v>
      </c>
      <c r="C268">
        <v>0</v>
      </c>
      <c r="D268">
        <f t="shared" si="0"/>
        <v>-7.5</v>
      </c>
      <c r="E268" s="17">
        <f t="shared" si="1"/>
        <v>-10</v>
      </c>
      <c r="F268">
        <f t="shared" si="2"/>
        <v>-40</v>
      </c>
      <c r="G268" s="17">
        <f t="shared" si="3"/>
        <v>-30</v>
      </c>
    </row>
    <row r="269" spans="1:9" x14ac:dyDescent="0.25">
      <c r="A269">
        <v>0.6</v>
      </c>
      <c r="B269" s="36">
        <v>0.6</v>
      </c>
      <c r="C269">
        <v>0</v>
      </c>
      <c r="D269">
        <f t="shared" si="0"/>
        <v>-9</v>
      </c>
      <c r="E269" s="17">
        <f t="shared" si="1"/>
        <v>-12</v>
      </c>
      <c r="F269">
        <f t="shared" si="2"/>
        <v>-48</v>
      </c>
      <c r="G269" s="17">
        <f t="shared" si="3"/>
        <v>-36</v>
      </c>
    </row>
    <row r="270" spans="1:9" x14ac:dyDescent="0.25">
      <c r="A270">
        <v>0.7</v>
      </c>
      <c r="B270" s="36">
        <v>0.7</v>
      </c>
      <c r="C270">
        <v>0</v>
      </c>
      <c r="D270">
        <f t="shared" si="0"/>
        <v>-10.5</v>
      </c>
      <c r="E270" s="17">
        <f t="shared" si="1"/>
        <v>-14</v>
      </c>
      <c r="F270">
        <f t="shared" si="2"/>
        <v>-56</v>
      </c>
      <c r="G270" s="17">
        <f t="shared" si="3"/>
        <v>-42</v>
      </c>
    </row>
    <row r="271" spans="1:9" x14ac:dyDescent="0.25">
      <c r="A271">
        <v>0.8</v>
      </c>
      <c r="B271" s="36">
        <v>0.8</v>
      </c>
      <c r="C271">
        <v>0</v>
      </c>
      <c r="D271">
        <f t="shared" si="0"/>
        <v>-12</v>
      </c>
      <c r="E271" s="17">
        <f t="shared" si="1"/>
        <v>-16</v>
      </c>
      <c r="F271">
        <f t="shared" si="2"/>
        <v>-64</v>
      </c>
      <c r="G271" s="17">
        <f t="shared" si="3"/>
        <v>-48</v>
      </c>
    </row>
    <row r="272" spans="1:9" x14ac:dyDescent="0.25">
      <c r="A272">
        <v>0.9</v>
      </c>
      <c r="B272" s="36">
        <v>0.9</v>
      </c>
      <c r="C272">
        <v>0</v>
      </c>
      <c r="D272">
        <f t="shared" si="0"/>
        <v>-13.5</v>
      </c>
      <c r="E272" s="17">
        <f t="shared" si="1"/>
        <v>-18</v>
      </c>
      <c r="F272">
        <f t="shared" si="2"/>
        <v>-72</v>
      </c>
      <c r="G272" s="17">
        <f t="shared" si="3"/>
        <v>-54</v>
      </c>
    </row>
    <row r="273" spans="1:10" x14ac:dyDescent="0.25">
      <c r="A273">
        <v>1</v>
      </c>
      <c r="B273" s="36">
        <v>1</v>
      </c>
      <c r="C273">
        <v>0</v>
      </c>
      <c r="D273">
        <f>-15*B273</f>
        <v>-15</v>
      </c>
      <c r="E273" s="17">
        <f>-20*B273</f>
        <v>-20</v>
      </c>
      <c r="F273">
        <f>-80*(B273)</f>
        <v>-80</v>
      </c>
      <c r="G273" s="17">
        <f>-60*B273</f>
        <v>-60</v>
      </c>
      <c r="I273">
        <f>0.2*F273</f>
        <v>-16</v>
      </c>
      <c r="J273">
        <f>12/60</f>
        <v>0.2</v>
      </c>
    </row>
    <row r="275" spans="1:10" x14ac:dyDescent="0.25">
      <c r="I275">
        <f>20/72</f>
        <v>0.27777777777777779</v>
      </c>
    </row>
    <row r="277" spans="1:10" x14ac:dyDescent="0.25">
      <c r="B277" s="1" t="s">
        <v>382</v>
      </c>
    </row>
    <row r="278" spans="1:10" x14ac:dyDescent="0.25">
      <c r="B278" t="s">
        <v>49</v>
      </c>
      <c r="C278">
        <v>5</v>
      </c>
    </row>
    <row r="279" spans="1:10" x14ac:dyDescent="0.25">
      <c r="B279" t="s">
        <v>234</v>
      </c>
      <c r="C279">
        <v>4</v>
      </c>
    </row>
    <row r="280" spans="1:10" x14ac:dyDescent="0.25">
      <c r="B280" t="s">
        <v>74</v>
      </c>
      <c r="C280">
        <v>2</v>
      </c>
    </row>
    <row r="281" spans="1:10" x14ac:dyDescent="0.25">
      <c r="B281" t="s">
        <v>127</v>
      </c>
      <c r="C281">
        <v>1</v>
      </c>
    </row>
    <row r="282" spans="1:10" x14ac:dyDescent="0.25">
      <c r="B282" t="s">
        <v>384</v>
      </c>
      <c r="C282">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4"/>
  <sheetViews>
    <sheetView zoomScale="130" zoomScaleNormal="130" workbookViewId="0">
      <selection activeCell="C5" sqref="C5"/>
    </sheetView>
  </sheetViews>
  <sheetFormatPr defaultRowHeight="15" x14ac:dyDescent="0.25"/>
  <cols>
    <col min="1" max="1" width="33.140625" customWidth="1"/>
    <col min="2" max="2" width="14.140625" customWidth="1"/>
    <col min="3" max="3" width="28.140625" customWidth="1"/>
    <col min="4" max="4" width="16.28515625" customWidth="1"/>
    <col min="5" max="5" width="16.85546875" customWidth="1"/>
    <col min="6" max="6" width="16.7109375" customWidth="1"/>
  </cols>
  <sheetData>
    <row r="3" spans="1:4" x14ac:dyDescent="0.25">
      <c r="A3" s="3" t="s">
        <v>7</v>
      </c>
      <c r="B3" s="40"/>
      <c r="C3" t="s">
        <v>210</v>
      </c>
      <c r="D3" s="42"/>
    </row>
    <row r="4" spans="1:4" x14ac:dyDescent="0.25">
      <c r="A4" s="3" t="s">
        <v>313</v>
      </c>
      <c r="B4" s="41"/>
    </row>
    <row r="6" spans="1:4" x14ac:dyDescent="0.25">
      <c r="A6" s="3" t="s">
        <v>0</v>
      </c>
      <c r="B6" s="14" t="e">
        <f>'Worship and prayer'!D10</f>
        <v>#N/A</v>
      </c>
    </row>
    <row r="7" spans="1:4" x14ac:dyDescent="0.25">
      <c r="A7" s="3" t="s">
        <v>1</v>
      </c>
      <c r="B7" s="14" t="e">
        <f>Home!D25</f>
        <v>#N/A</v>
      </c>
    </row>
    <row r="8" spans="1:4" x14ac:dyDescent="0.25">
      <c r="A8" s="3" t="s">
        <v>2</v>
      </c>
      <c r="B8" s="14" t="e">
        <f>IF(Garden!C2="No",-1,Garden!D46)</f>
        <v>#N/A</v>
      </c>
      <c r="C8" t="str">
        <f>IF(Garden!C2="No","N/A","Applicable")</f>
        <v>Applicable</v>
      </c>
    </row>
    <row r="9" spans="1:4" x14ac:dyDescent="0.25">
      <c r="A9" s="3" t="s">
        <v>3</v>
      </c>
      <c r="B9" s="14" t="e">
        <f>Travel!D23</f>
        <v>#N/A</v>
      </c>
    </row>
    <row r="10" spans="1:4" x14ac:dyDescent="0.25">
      <c r="A10" s="3" t="s">
        <v>4</v>
      </c>
      <c r="B10" s="14" t="e">
        <f>Food!D28</f>
        <v>#N/A</v>
      </c>
    </row>
    <row r="11" spans="1:4" x14ac:dyDescent="0.25">
      <c r="A11" s="3" t="s">
        <v>183</v>
      </c>
      <c r="B11" s="14" t="e">
        <f>Possessions!D24</f>
        <v>#N/A</v>
      </c>
    </row>
    <row r="12" spans="1:4" x14ac:dyDescent="0.25">
      <c r="A12" s="3" t="s">
        <v>182</v>
      </c>
      <c r="B12" s="14" t="e">
        <f>'Community &amp; Global Engagement'!D18</f>
        <v>#N/A</v>
      </c>
    </row>
    <row r="13" spans="1:4" x14ac:dyDescent="0.25">
      <c r="B13" s="15"/>
    </row>
    <row r="14" spans="1:4" x14ac:dyDescent="0.25">
      <c r="A14" s="3" t="s">
        <v>6</v>
      </c>
      <c r="B14" s="14" t="e">
        <f>IF(C8="N/A",MIN(B6:B7,B9:B12),MIN(B6:B12))</f>
        <v>#N/A</v>
      </c>
    </row>
  </sheetData>
  <sheetProtection algorithmName="SHA-512" hashValue="E5bll4KgZK3oDfWbsrvU+xyJEu1Xw3EY+04Jfj3Jy1IzGxn6377nWm+JlTAKtgXkf0F1bt1usFAg5VbnQM4LOg==" saltValue="I211Zr878ciIBHL171f1lA==" spinCount="100000" sheet="1" objects="1" scenarios="1"/>
  <conditionalFormatting sqref="B8">
    <cfRule type="expression" dxfId="74" priority="1">
      <formula>"$C$8=""N/A"""</formula>
    </cfRule>
    <cfRule type="cellIs" dxfId="73" priority="15" operator="equal">
      <formula>3</formula>
    </cfRule>
    <cfRule type="cellIs" dxfId="72" priority="16" operator="equal">
      <formula>2</formula>
    </cfRule>
    <cfRule type="cellIs" dxfId="71" priority="17" operator="equal">
      <formula>1</formula>
    </cfRule>
    <cfRule type="cellIs" dxfId="70" priority="18" operator="equal">
      <formula>0</formula>
    </cfRule>
  </conditionalFormatting>
  <conditionalFormatting sqref="B6:B7">
    <cfRule type="cellIs" dxfId="69" priority="11" operator="equal">
      <formula>3</formula>
    </cfRule>
    <cfRule type="cellIs" dxfId="68" priority="12" operator="equal">
      <formula>2</formula>
    </cfRule>
    <cfRule type="cellIs" dxfId="67" priority="13" operator="equal">
      <formula>1</formula>
    </cfRule>
    <cfRule type="cellIs" dxfId="66" priority="14" operator="equal">
      <formula>0</formula>
    </cfRule>
  </conditionalFormatting>
  <conditionalFormatting sqref="B9:B12">
    <cfRule type="cellIs" dxfId="65" priority="7" operator="equal">
      <formula>3</formula>
    </cfRule>
    <cfRule type="cellIs" dxfId="64" priority="8" operator="equal">
      <formula>2</formula>
    </cfRule>
    <cfRule type="cellIs" dxfId="63" priority="9" operator="equal">
      <formula>1</formula>
    </cfRule>
    <cfRule type="cellIs" dxfId="62" priority="10" operator="equal">
      <formula>0</formula>
    </cfRule>
  </conditionalFormatting>
  <conditionalFormatting sqref="B14">
    <cfRule type="cellIs" dxfId="61" priority="3" operator="equal">
      <formula>3</formula>
    </cfRule>
    <cfRule type="cellIs" dxfId="60" priority="4" operator="equal">
      <formula>2</formula>
    </cfRule>
    <cfRule type="cellIs" dxfId="59" priority="5" operator="equal">
      <formula>1</formula>
    </cfRule>
    <cfRule type="cellIs" dxfId="58" priority="6" operator="equal">
      <formula>0</formula>
    </cfRule>
  </conditionalFormatting>
  <dataValidations count="1">
    <dataValidation type="date" allowBlank="1" showInputMessage="1" showErrorMessage="1" sqref="B4" xr:uid="{00000000-0002-0000-0100-000000000000}">
      <formula1>43666</formula1>
      <formula2>109939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zoomScale="130" zoomScaleNormal="130" workbookViewId="0">
      <selection activeCell="B12" sqref="B12"/>
    </sheetView>
  </sheetViews>
  <sheetFormatPr defaultRowHeight="15" x14ac:dyDescent="0.25"/>
  <cols>
    <col min="1" max="1" width="5" customWidth="1"/>
    <col min="2" max="2" width="61.7109375" customWidth="1"/>
    <col min="3" max="3" width="24" customWidth="1"/>
    <col min="4" max="4" width="12" customWidth="1"/>
  </cols>
  <sheetData>
    <row r="1" spans="1:4" x14ac:dyDescent="0.25">
      <c r="A1" s="51" t="s">
        <v>0</v>
      </c>
      <c r="B1" s="51"/>
      <c r="C1" s="3" t="s">
        <v>5</v>
      </c>
      <c r="D1" s="41"/>
    </row>
    <row r="3" spans="1:4" x14ac:dyDescent="0.25">
      <c r="A3" s="1" t="s">
        <v>10</v>
      </c>
      <c r="B3" s="1" t="s">
        <v>8</v>
      </c>
      <c r="C3" s="1" t="s">
        <v>9</v>
      </c>
      <c r="D3" s="1" t="s">
        <v>11</v>
      </c>
    </row>
    <row r="4" spans="1:4" x14ac:dyDescent="0.25">
      <c r="A4">
        <v>1.1000000000000001</v>
      </c>
      <c r="B4" s="33" t="s">
        <v>50</v>
      </c>
      <c r="C4" s="43"/>
      <c r="D4" s="9" t="e">
        <f>VLOOKUP(C4,References!$B$5:$C$10,2,FALSE)</f>
        <v>#N/A</v>
      </c>
    </row>
    <row r="5" spans="1:4" ht="30.95" customHeight="1" x14ac:dyDescent="0.25">
      <c r="A5">
        <v>1.2</v>
      </c>
      <c r="B5" s="34" t="s">
        <v>322</v>
      </c>
      <c r="C5" s="43"/>
      <c r="D5" s="9" t="e">
        <f>VLOOKUP(C5,References!$B$5:$C$10,2,FALSE)</f>
        <v>#N/A</v>
      </c>
    </row>
    <row r="6" spans="1:4" x14ac:dyDescent="0.25">
      <c r="A6">
        <v>1.3</v>
      </c>
      <c r="B6" s="33" t="s">
        <v>56</v>
      </c>
      <c r="C6" s="43"/>
      <c r="D6" s="9" t="e">
        <f>VLOOKUP(C6,References!$B$5:$C$10,2,FALSE)</f>
        <v>#N/A</v>
      </c>
    </row>
    <row r="7" spans="1:4" x14ac:dyDescent="0.25">
      <c r="A7">
        <v>1.4</v>
      </c>
      <c r="B7" s="33" t="s">
        <v>57</v>
      </c>
      <c r="C7" s="43"/>
      <c r="D7" s="9" t="e">
        <f>VLOOKUP(C7,References!$B$5:$C$10,2,FALSE)</f>
        <v>#N/A</v>
      </c>
    </row>
    <row r="8" spans="1:4" ht="30" x14ac:dyDescent="0.25">
      <c r="A8">
        <v>1.5</v>
      </c>
      <c r="B8" s="35" t="s">
        <v>323</v>
      </c>
      <c r="C8" s="43"/>
      <c r="D8" s="9" t="e">
        <f>VLOOKUP(C8,References!$B$5:$C$10,2,FALSE)</f>
        <v>#N/A</v>
      </c>
    </row>
    <row r="9" spans="1:4" x14ac:dyDescent="0.25">
      <c r="C9" s="3" t="s">
        <v>46</v>
      </c>
      <c r="D9" s="14" t="e">
        <f>SUM(D4:D8)</f>
        <v>#N/A</v>
      </c>
    </row>
    <row r="10" spans="1:4" x14ac:dyDescent="0.25">
      <c r="C10" s="3" t="s">
        <v>47</v>
      </c>
      <c r="D10" s="14" t="e">
        <f>IF(D9&lt;13,0,IF(D9&lt;25,1,IF(D9&lt;38,2,3)))</f>
        <v>#N/A</v>
      </c>
    </row>
    <row r="11" spans="1:4" x14ac:dyDescent="0.25">
      <c r="B11" t="s">
        <v>378</v>
      </c>
    </row>
    <row r="12" spans="1:4" ht="33.950000000000003" customHeight="1" x14ac:dyDescent="0.25">
      <c r="B12" s="40"/>
    </row>
  </sheetData>
  <sheetProtection algorithmName="SHA-512" hashValue="PeRMH+YDO35Pf14lfJWeyxX47Z9aXFGt/aLwqWvIEhXYPApF36Y1m/YBRN0rExxwSmgZW+xstSjOBmMTwdFMGA==" saltValue="LRbC6CqATpqvzBnz5WyO8g==" spinCount="100000" sheet="1" objects="1" scenarios="1"/>
  <mergeCells count="1">
    <mergeCell ref="A1:B1"/>
  </mergeCells>
  <conditionalFormatting sqref="D9">
    <cfRule type="cellIs" dxfId="57" priority="5" operator="greaterThanOrEqual">
      <formula>38</formula>
    </cfRule>
    <cfRule type="cellIs" dxfId="56" priority="6" operator="between">
      <formula>25</formula>
      <formula>37</formula>
    </cfRule>
    <cfRule type="cellIs" dxfId="55" priority="7" operator="between">
      <formula>13</formula>
      <formula>24</formula>
    </cfRule>
    <cfRule type="cellIs" dxfId="54" priority="8" operator="lessThan">
      <formula>13</formula>
    </cfRule>
  </conditionalFormatting>
  <conditionalFormatting sqref="D10">
    <cfRule type="cellIs" dxfId="53" priority="1" operator="equal">
      <formula>3</formula>
    </cfRule>
    <cfRule type="cellIs" dxfId="52" priority="2" operator="equal">
      <formula>2</formula>
    </cfRule>
    <cfRule type="cellIs" dxfId="51" priority="3" operator="equal">
      <formula>1</formula>
    </cfRule>
    <cfRule type="cellIs" dxfId="50" priority="4" operator="equal">
      <formula>0</formula>
    </cfRule>
  </conditionalFormatting>
  <dataValidations count="2">
    <dataValidation type="list" allowBlank="1" showInputMessage="1" showErrorMessage="1" sqref="C4:C8" xr:uid="{00000000-0002-0000-0200-000000000000}">
      <formula1>HowOften</formula1>
    </dataValidation>
    <dataValidation type="date" allowBlank="1" showInputMessage="1" showErrorMessage="1" sqref="D1" xr:uid="{00000000-0002-0000-0200-000001000000}">
      <formula1>43666</formula1>
      <formula2>109939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
  <sheetViews>
    <sheetView topLeftCell="A10" zoomScaleNormal="100" workbookViewId="0">
      <selection activeCell="D20" sqref="D20"/>
    </sheetView>
  </sheetViews>
  <sheetFormatPr defaultRowHeight="15" x14ac:dyDescent="0.25"/>
  <cols>
    <col min="1" max="1" width="6.42578125" customWidth="1"/>
    <col min="2" max="2" width="76.5703125" bestFit="1" customWidth="1"/>
    <col min="3" max="3" width="40.5703125" bestFit="1" customWidth="1"/>
    <col min="5" max="5" width="9.140625" hidden="1" customWidth="1"/>
    <col min="7" max="7" width="0" hidden="1" customWidth="1"/>
  </cols>
  <sheetData>
    <row r="1" spans="1:6" x14ac:dyDescent="0.25">
      <c r="A1" s="1" t="s">
        <v>1</v>
      </c>
      <c r="B1" s="3" t="s">
        <v>5</v>
      </c>
      <c r="C1" s="41"/>
    </row>
    <row r="3" spans="1:6" x14ac:dyDescent="0.25">
      <c r="A3" s="1" t="s">
        <v>10</v>
      </c>
      <c r="B3" s="1" t="s">
        <v>8</v>
      </c>
      <c r="C3" s="1" t="s">
        <v>9</v>
      </c>
      <c r="D3" s="1" t="s">
        <v>11</v>
      </c>
    </row>
    <row r="4" spans="1:6" x14ac:dyDescent="0.25">
      <c r="A4">
        <v>2.1</v>
      </c>
      <c r="B4" t="s">
        <v>76</v>
      </c>
      <c r="C4" s="43"/>
      <c r="D4" s="9">
        <f>IF(Home!C4="Yes",10,0)</f>
        <v>0</v>
      </c>
      <c r="E4">
        <v>10</v>
      </c>
      <c r="F4" s="16" t="s">
        <v>185</v>
      </c>
    </row>
    <row r="5" spans="1:6" x14ac:dyDescent="0.25">
      <c r="A5">
        <v>2.2000000000000002</v>
      </c>
      <c r="B5" t="s">
        <v>77</v>
      </c>
      <c r="C5" s="43"/>
      <c r="D5" s="9">
        <f>IF(Home!C5="Yes",20,0)</f>
        <v>0</v>
      </c>
      <c r="E5">
        <v>20</v>
      </c>
    </row>
    <row r="6" spans="1:6" x14ac:dyDescent="0.25">
      <c r="A6">
        <v>2.2999999999999998</v>
      </c>
      <c r="B6" t="s">
        <v>78</v>
      </c>
      <c r="C6" s="43"/>
      <c r="D6" s="9">
        <f>IF(Home!C6="Yes",10,0)</f>
        <v>0</v>
      </c>
      <c r="E6">
        <v>10</v>
      </c>
      <c r="F6" s="16" t="s">
        <v>185</v>
      </c>
    </row>
    <row r="7" spans="1:6" x14ac:dyDescent="0.25">
      <c r="A7">
        <v>2.4</v>
      </c>
      <c r="B7" t="s">
        <v>79</v>
      </c>
      <c r="C7" s="43"/>
      <c r="D7" s="9">
        <f>IF(Home!C7="Yes",20,0)</f>
        <v>0</v>
      </c>
      <c r="E7">
        <v>20</v>
      </c>
      <c r="F7" s="16"/>
    </row>
    <row r="8" spans="1:6" ht="30" x14ac:dyDescent="0.25">
      <c r="A8">
        <v>2.5</v>
      </c>
      <c r="B8" s="10" t="s">
        <v>289</v>
      </c>
      <c r="C8" s="43"/>
      <c r="D8" s="9" t="e">
        <f>VLOOKUP(C8,References!B36:E39,4,FALSE)</f>
        <v>#N/A</v>
      </c>
      <c r="E8">
        <v>10</v>
      </c>
      <c r="F8" s="16"/>
    </row>
    <row r="9" spans="1:6" x14ac:dyDescent="0.25">
      <c r="A9">
        <v>2.6</v>
      </c>
      <c r="B9" t="s">
        <v>287</v>
      </c>
      <c r="C9" s="43"/>
      <c r="D9" s="9">
        <f>IF(C9="Yes",5,0)</f>
        <v>0</v>
      </c>
      <c r="E9">
        <v>5</v>
      </c>
      <c r="F9" s="16"/>
    </row>
    <row r="10" spans="1:6" ht="31.5" x14ac:dyDescent="0.35">
      <c r="A10">
        <v>2.7</v>
      </c>
      <c r="B10" s="10" t="s">
        <v>125</v>
      </c>
      <c r="C10" s="43"/>
      <c r="D10" s="11" t="e">
        <f>VLOOKUP(C10,References!B42:C45,2,FALSE)</f>
        <v>#N/A</v>
      </c>
      <c r="E10">
        <f>IF(C10="Not applicable",0,20)</f>
        <v>20</v>
      </c>
    </row>
    <row r="11" spans="1:6" x14ac:dyDescent="0.25">
      <c r="A11">
        <v>2.8</v>
      </c>
      <c r="B11" t="s">
        <v>83</v>
      </c>
      <c r="C11" s="43"/>
      <c r="D11" s="9" t="e">
        <f>VLOOKUP(C11,References!B47:C52,2,FALSE)</f>
        <v>#N/A</v>
      </c>
      <c r="E11">
        <f>IF(C11="Not applicable",0,10)</f>
        <v>10</v>
      </c>
      <c r="F11" t="s">
        <v>82</v>
      </c>
    </row>
    <row r="12" spans="1:6" x14ac:dyDescent="0.25">
      <c r="A12">
        <v>2.9</v>
      </c>
      <c r="B12" t="s">
        <v>89</v>
      </c>
      <c r="C12" s="43"/>
      <c r="D12" s="9" t="e">
        <f>VLOOKUP(C12,References!B54:C62,2,FALSE)</f>
        <v>#N/A</v>
      </c>
      <c r="E12">
        <v>20</v>
      </c>
      <c r="F12" s="16" t="s">
        <v>186</v>
      </c>
    </row>
    <row r="13" spans="1:6" x14ac:dyDescent="0.25">
      <c r="A13" s="7">
        <v>2.1</v>
      </c>
      <c r="B13" t="s">
        <v>98</v>
      </c>
      <c r="C13" s="43"/>
      <c r="D13" s="9" t="e">
        <f>VLOOKUP(C13,References!B64:C69,2,FALSE)</f>
        <v>#N/A</v>
      </c>
      <c r="E13">
        <f>IF(C13="Not applicable (listed status)",0,20)</f>
        <v>20</v>
      </c>
      <c r="F13" s="16" t="s">
        <v>187</v>
      </c>
    </row>
    <row r="14" spans="1:6" x14ac:dyDescent="0.25">
      <c r="A14">
        <v>2.11</v>
      </c>
      <c r="B14" t="s">
        <v>103</v>
      </c>
      <c r="C14" s="43"/>
      <c r="D14" s="9" t="e">
        <f>VLOOKUP(C14,References!B71:C77,2,FALSE)</f>
        <v>#N/A</v>
      </c>
      <c r="E14">
        <v>20</v>
      </c>
    </row>
    <row r="15" spans="1:6" x14ac:dyDescent="0.25">
      <c r="A15">
        <v>2.12</v>
      </c>
      <c r="B15" t="s">
        <v>109</v>
      </c>
      <c r="C15" s="43"/>
      <c r="D15" s="9">
        <f>IF(C15="Yes",5,0)</f>
        <v>0</v>
      </c>
      <c r="E15">
        <v>5</v>
      </c>
      <c r="F15" s="16" t="s">
        <v>188</v>
      </c>
    </row>
    <row r="16" spans="1:6" ht="30" x14ac:dyDescent="0.25">
      <c r="A16">
        <v>2.13</v>
      </c>
      <c r="B16" s="10" t="s">
        <v>288</v>
      </c>
      <c r="C16" s="43"/>
      <c r="D16" s="9" t="e">
        <f>VLOOKUP(C16,References!B36:E39,4,FALSE)</f>
        <v>#N/A</v>
      </c>
      <c r="E16">
        <v>10</v>
      </c>
      <c r="F16" s="16"/>
    </row>
    <row r="17" spans="1:7" ht="30" x14ac:dyDescent="0.25">
      <c r="A17">
        <v>2.14</v>
      </c>
      <c r="B17" s="10" t="s">
        <v>110</v>
      </c>
      <c r="C17" s="43"/>
      <c r="D17" s="9" t="e">
        <f>VLOOKUP(C17,References!B79:C81,2,FALSE)</f>
        <v>#N/A</v>
      </c>
      <c r="E17">
        <v>10</v>
      </c>
    </row>
    <row r="18" spans="1:7" x14ac:dyDescent="0.25">
      <c r="A18">
        <v>2.15</v>
      </c>
      <c r="B18" t="s">
        <v>113</v>
      </c>
      <c r="C18" s="43"/>
      <c r="D18" s="9" t="e">
        <f>VLOOKUP(C18,References!B83:C85,2,FALSE)</f>
        <v>#N/A</v>
      </c>
      <c r="E18">
        <v>5</v>
      </c>
    </row>
    <row r="19" spans="1:7" x14ac:dyDescent="0.25">
      <c r="A19">
        <v>2.16</v>
      </c>
      <c r="B19" t="s">
        <v>114</v>
      </c>
      <c r="C19" s="43"/>
      <c r="D19" s="9" t="e">
        <f>VLOOKUP(C19,References!B79:C81,2,FALSE)</f>
        <v>#N/A</v>
      </c>
      <c r="E19">
        <v>10</v>
      </c>
    </row>
    <row r="20" spans="1:7" ht="30" x14ac:dyDescent="0.25">
      <c r="A20">
        <v>2.17</v>
      </c>
      <c r="B20" s="10" t="s">
        <v>115</v>
      </c>
      <c r="C20" s="43"/>
      <c r="D20" s="9">
        <f>IF(C20="Yes",20,0)</f>
        <v>0</v>
      </c>
      <c r="E20">
        <v>20</v>
      </c>
      <c r="F20" s="16" t="s">
        <v>189</v>
      </c>
    </row>
    <row r="21" spans="1:7" x14ac:dyDescent="0.25">
      <c r="A21">
        <v>2.1800000000000002</v>
      </c>
      <c r="B21" t="s">
        <v>116</v>
      </c>
      <c r="C21" s="43"/>
      <c r="D21" s="9" t="e">
        <f>VLOOKUP(C21,References!B87:C91,2,FALSE)</f>
        <v>#N/A</v>
      </c>
      <c r="E21">
        <v>10</v>
      </c>
    </row>
    <row r="22" spans="1:7" x14ac:dyDescent="0.25">
      <c r="A22">
        <v>2.19</v>
      </c>
      <c r="B22" t="s">
        <v>122</v>
      </c>
      <c r="C22" s="43"/>
      <c r="D22" s="9" t="e">
        <f>VLOOKUP(C22,References!B93:C95,2,FALSE)</f>
        <v>#N/A</v>
      </c>
      <c r="E22">
        <v>10</v>
      </c>
    </row>
    <row r="23" spans="1:7" x14ac:dyDescent="0.25">
      <c r="E23">
        <f>SUM(E4:E22)</f>
        <v>245</v>
      </c>
    </row>
    <row r="24" spans="1:7" x14ac:dyDescent="0.25">
      <c r="B24" s="3" t="s">
        <v>46</v>
      </c>
      <c r="D24" s="14" t="e">
        <f>SUM(D4:D22)</f>
        <v>#N/A</v>
      </c>
      <c r="G24">
        <f>0.3*E23</f>
        <v>73.5</v>
      </c>
    </row>
    <row r="25" spans="1:7" x14ac:dyDescent="0.25">
      <c r="B25" s="3" t="s">
        <v>47</v>
      </c>
      <c r="D25" s="14" t="e">
        <f>IF(D24&lt;(0.25*$E$23),0,IF(D24&lt;(0.5*$E$23),1,IF(D24&lt;(0.75*$E$23),2,3)))</f>
        <v>#N/A</v>
      </c>
      <c r="G25">
        <f>0.6*E23</f>
        <v>147</v>
      </c>
    </row>
    <row r="26" spans="1:7" x14ac:dyDescent="0.25">
      <c r="B26" t="s">
        <v>378</v>
      </c>
      <c r="G26">
        <f>0.8*E23</f>
        <v>196</v>
      </c>
    </row>
    <row r="27" spans="1:7" ht="33.950000000000003" customHeight="1" x14ac:dyDescent="0.25">
      <c r="B27" s="40"/>
    </row>
  </sheetData>
  <sheetProtection algorithmName="SHA-512" hashValue="yq0NuCvTGajM3MfSof6pDff7Tt5MTlwr2Ixp/JrvlPadfvbOZENA0zmXTZl2wDM9NdF0lA+ddZEfnucLrlqJrA==" saltValue="QRSiVtaSdip4s8fS/W2GHQ==" spinCount="100000" sheet="1" objects="1" scenarios="1"/>
  <conditionalFormatting sqref="D25">
    <cfRule type="cellIs" dxfId="49" priority="5" operator="equal">
      <formula>3</formula>
    </cfRule>
    <cfRule type="cellIs" dxfId="48" priority="6" operator="equal">
      <formula>2</formula>
    </cfRule>
    <cfRule type="cellIs" dxfId="47" priority="7" operator="equal">
      <formula>1</formula>
    </cfRule>
    <cfRule type="cellIs" dxfId="46" priority="8" operator="equal">
      <formula>0</formula>
    </cfRule>
  </conditionalFormatting>
  <conditionalFormatting sqref="D24">
    <cfRule type="cellIs" dxfId="45" priority="1" operator="greaterThanOrEqual">
      <formula>0.75*$E$23</formula>
    </cfRule>
    <cfRule type="cellIs" dxfId="44" priority="2" operator="between">
      <formula>0.5*$E$23</formula>
      <formula>0.74*$E$23</formula>
    </cfRule>
    <cfRule type="cellIs" dxfId="43" priority="3" operator="between">
      <formula>0.25*$E$23</formula>
      <formula>0.49*$E$23</formula>
    </cfRule>
    <cfRule type="cellIs" dxfId="42" priority="4" operator="lessThan">
      <formula>0.25*$E$23</formula>
    </cfRule>
  </conditionalFormatting>
  <dataValidations count="11">
    <dataValidation type="list" allowBlank="1" showInputMessage="1" showErrorMessage="1" sqref="C15 C20 C4:C7 C9" xr:uid="{00000000-0002-0000-0300-000000000000}">
      <formula1>YesNo</formula1>
    </dataValidation>
    <dataValidation type="list" allowBlank="1" showInputMessage="1" showErrorMessage="1" sqref="C10" xr:uid="{00000000-0002-0000-0300-000001000000}">
      <formula1>Yessomenona</formula1>
    </dataValidation>
    <dataValidation type="list" allowBlank="1" showInputMessage="1" showErrorMessage="1" sqref="C11" xr:uid="{00000000-0002-0000-0300-000002000000}">
      <formula1>ABCD</formula1>
    </dataValidation>
    <dataValidation type="list" allowBlank="1" showInputMessage="1" showErrorMessage="1" sqref="C12" xr:uid="{00000000-0002-0000-0300-000003000000}">
      <formula1>walls</formula1>
    </dataValidation>
    <dataValidation type="list" allowBlank="1" showInputMessage="1" showErrorMessage="1" sqref="C13" xr:uid="{00000000-0002-0000-0300-000004000000}">
      <formula1>doubleglazing</formula1>
    </dataValidation>
    <dataValidation type="list" allowBlank="1" showInputMessage="1" showErrorMessage="1" sqref="C14" xr:uid="{00000000-0002-0000-0300-000005000000}">
      <formula1>lights</formula1>
    </dataValidation>
    <dataValidation type="list" allowBlank="1" showInputMessage="1" showErrorMessage="1" sqref="C17:C19" xr:uid="{00000000-0002-0000-0300-000006000000}">
      <formula1>Allsomenone</formula1>
    </dataValidation>
    <dataValidation type="list" allowBlank="1" showInputMessage="1" showErrorMessage="1" sqref="C21" xr:uid="{00000000-0002-0000-0300-000007000000}">
      <formula1>thermostat</formula1>
    </dataValidation>
    <dataValidation type="list" allowBlank="1" showInputMessage="1" showErrorMessage="1" sqref="C22" xr:uid="{00000000-0002-0000-0300-000008000000}">
      <formula1>Sparerooms</formula1>
    </dataValidation>
    <dataValidation type="list" allowBlank="1" showInputMessage="1" showErrorMessage="1" sqref="C16 C8" xr:uid="{00000000-0002-0000-0300-000009000000}">
      <formula1>washing</formula1>
    </dataValidation>
    <dataValidation type="date" allowBlank="1" showInputMessage="1" showErrorMessage="1" sqref="C1" xr:uid="{00000000-0002-0000-0300-00000A000000}">
      <formula1>43666</formula1>
      <formula2>109939</formula2>
    </dataValidation>
  </dataValidations>
  <hyperlinks>
    <hyperlink ref="F6" r:id="rId1" xr:uid="{00000000-0004-0000-0300-000000000000}"/>
    <hyperlink ref="F12" r:id="rId2" xr:uid="{00000000-0004-0000-0300-000001000000}"/>
    <hyperlink ref="F13" r:id="rId3" xr:uid="{00000000-0004-0000-0300-000002000000}"/>
    <hyperlink ref="F15" r:id="rId4" xr:uid="{00000000-0004-0000-0300-000003000000}"/>
    <hyperlink ref="F20" r:id="rId5" xr:uid="{00000000-0004-0000-0300-000004000000}"/>
    <hyperlink ref="F4" r:id="rId6" xr:uid="{00000000-0004-0000-0300-000005000000}"/>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topLeftCell="A19" zoomScale="120" zoomScaleNormal="120" workbookViewId="0">
      <selection activeCell="C30" sqref="C30"/>
    </sheetView>
  </sheetViews>
  <sheetFormatPr defaultRowHeight="15" x14ac:dyDescent="0.25"/>
  <cols>
    <col min="1" max="1" width="5.7109375" customWidth="1"/>
    <col min="2" max="2" width="54.5703125" customWidth="1"/>
    <col min="3" max="3" width="14.85546875" customWidth="1"/>
    <col min="5" max="5" width="0" hidden="1" customWidth="1"/>
    <col min="6" max="6" width="12.140625" customWidth="1"/>
  </cols>
  <sheetData>
    <row r="1" spans="1:6" x14ac:dyDescent="0.25">
      <c r="A1" s="1" t="s">
        <v>2</v>
      </c>
      <c r="C1" s="1" t="s">
        <v>9</v>
      </c>
      <c r="D1" s="3" t="s">
        <v>313</v>
      </c>
      <c r="F1" s="41"/>
    </row>
    <row r="2" spans="1:6" x14ac:dyDescent="0.25">
      <c r="B2" s="2" t="s">
        <v>12</v>
      </c>
      <c r="C2" s="43"/>
      <c r="D2" s="4" t="s">
        <v>15</v>
      </c>
    </row>
    <row r="3" spans="1:6" x14ac:dyDescent="0.25">
      <c r="C3" s="44"/>
    </row>
    <row r="4" spans="1:6" x14ac:dyDescent="0.25">
      <c r="A4" s="1" t="s">
        <v>10</v>
      </c>
      <c r="B4" s="1" t="s">
        <v>8</v>
      </c>
      <c r="C4" s="45" t="s">
        <v>9</v>
      </c>
      <c r="D4" s="1" t="s">
        <v>11</v>
      </c>
      <c r="F4" s="16" t="s">
        <v>190</v>
      </c>
    </row>
    <row r="5" spans="1:6" x14ac:dyDescent="0.25">
      <c r="B5" s="6" t="s">
        <v>4</v>
      </c>
      <c r="C5" s="44"/>
    </row>
    <row r="6" spans="1:6" x14ac:dyDescent="0.25">
      <c r="B6" t="s">
        <v>16</v>
      </c>
      <c r="C6" s="44"/>
    </row>
    <row r="7" spans="1:6" x14ac:dyDescent="0.25">
      <c r="A7">
        <v>3.1</v>
      </c>
      <c r="B7" s="2" t="s">
        <v>17</v>
      </c>
      <c r="C7" s="43"/>
      <c r="D7" s="9">
        <f>IF(C7="Yes",5,0)</f>
        <v>0</v>
      </c>
    </row>
    <row r="8" spans="1:6" x14ac:dyDescent="0.25">
      <c r="A8">
        <v>3.2</v>
      </c>
      <c r="B8" s="2" t="s">
        <v>18</v>
      </c>
      <c r="C8" s="43"/>
      <c r="D8" s="9">
        <f t="shared" ref="D8:D13" si="0">IF(C8="Yes",5,0)</f>
        <v>0</v>
      </c>
    </row>
    <row r="9" spans="1:6" x14ac:dyDescent="0.25">
      <c r="A9">
        <v>3.3</v>
      </c>
      <c r="B9" s="2" t="s">
        <v>19</v>
      </c>
      <c r="C9" s="43"/>
      <c r="D9" s="9">
        <f t="shared" si="0"/>
        <v>0</v>
      </c>
    </row>
    <row r="10" spans="1:6" x14ac:dyDescent="0.25">
      <c r="A10">
        <v>3.4</v>
      </c>
      <c r="B10" s="2" t="s">
        <v>328</v>
      </c>
      <c r="C10" s="43"/>
      <c r="D10" s="9">
        <f t="shared" si="0"/>
        <v>0</v>
      </c>
    </row>
    <row r="11" spans="1:6" x14ac:dyDescent="0.25">
      <c r="A11">
        <v>3.5</v>
      </c>
      <c r="B11" s="2" t="s">
        <v>329</v>
      </c>
      <c r="C11" s="43"/>
      <c r="D11" s="9">
        <f t="shared" si="0"/>
        <v>0</v>
      </c>
    </row>
    <row r="12" spans="1:6" x14ac:dyDescent="0.25">
      <c r="A12">
        <v>3.6</v>
      </c>
      <c r="B12" s="2" t="s">
        <v>20</v>
      </c>
      <c r="C12" s="43"/>
      <c r="D12" s="9">
        <f t="shared" si="0"/>
        <v>0</v>
      </c>
    </row>
    <row r="13" spans="1:6" ht="30" x14ac:dyDescent="0.25">
      <c r="A13">
        <v>3.7</v>
      </c>
      <c r="B13" s="5" t="s">
        <v>21</v>
      </c>
      <c r="C13" s="43"/>
      <c r="D13" s="9">
        <f t="shared" si="0"/>
        <v>0</v>
      </c>
    </row>
    <row r="14" spans="1:6" x14ac:dyDescent="0.25">
      <c r="C14" s="44"/>
    </row>
    <row r="15" spans="1:6" x14ac:dyDescent="0.25">
      <c r="B15" s="6" t="s">
        <v>22</v>
      </c>
      <c r="C15" s="44"/>
    </row>
    <row r="16" spans="1:6" x14ac:dyDescent="0.25">
      <c r="B16" t="s">
        <v>23</v>
      </c>
      <c r="C16" s="44"/>
    </row>
    <row r="17" spans="1:4" x14ac:dyDescent="0.25">
      <c r="A17">
        <v>3.8</v>
      </c>
      <c r="B17" s="2" t="s">
        <v>24</v>
      </c>
      <c r="C17" s="43"/>
      <c r="D17" s="9">
        <f t="shared" ref="D17:D26" si="1">IF(C17="Yes",5,0)</f>
        <v>0</v>
      </c>
    </row>
    <row r="18" spans="1:4" x14ac:dyDescent="0.25">
      <c r="A18">
        <v>3.9</v>
      </c>
      <c r="B18" s="2" t="s">
        <v>25</v>
      </c>
      <c r="C18" s="43"/>
      <c r="D18" s="9">
        <f t="shared" si="1"/>
        <v>0</v>
      </c>
    </row>
    <row r="19" spans="1:4" x14ac:dyDescent="0.25">
      <c r="A19" s="7">
        <v>3.1</v>
      </c>
      <c r="B19" s="2" t="s">
        <v>26</v>
      </c>
      <c r="C19" s="43"/>
      <c r="D19" s="9">
        <f t="shared" si="1"/>
        <v>0</v>
      </c>
    </row>
    <row r="20" spans="1:4" x14ac:dyDescent="0.25">
      <c r="A20">
        <v>3.11</v>
      </c>
      <c r="B20" s="2" t="s">
        <v>27</v>
      </c>
      <c r="C20" s="43"/>
      <c r="D20" s="9">
        <f t="shared" si="1"/>
        <v>0</v>
      </c>
    </row>
    <row r="21" spans="1:4" x14ac:dyDescent="0.25">
      <c r="A21" s="7">
        <v>3.12</v>
      </c>
      <c r="B21" s="2" t="s">
        <v>28</v>
      </c>
      <c r="C21" s="43"/>
      <c r="D21" s="9">
        <f t="shared" si="1"/>
        <v>0</v>
      </c>
    </row>
    <row r="22" spans="1:4" x14ac:dyDescent="0.25">
      <c r="A22">
        <v>3.13</v>
      </c>
      <c r="B22" s="2" t="s">
        <v>29</v>
      </c>
      <c r="C22" s="43"/>
      <c r="D22" s="9">
        <f t="shared" si="1"/>
        <v>0</v>
      </c>
    </row>
    <row r="23" spans="1:4" x14ac:dyDescent="0.25">
      <c r="A23" s="7">
        <v>3.14</v>
      </c>
      <c r="B23" s="2" t="s">
        <v>43</v>
      </c>
      <c r="C23" s="43"/>
      <c r="D23" s="9">
        <f t="shared" si="1"/>
        <v>0</v>
      </c>
    </row>
    <row r="24" spans="1:4" x14ac:dyDescent="0.25">
      <c r="A24">
        <v>3.15</v>
      </c>
      <c r="B24" s="2" t="s">
        <v>44</v>
      </c>
      <c r="C24" s="43"/>
      <c r="D24" s="9">
        <f t="shared" si="1"/>
        <v>0</v>
      </c>
    </row>
    <row r="25" spans="1:4" x14ac:dyDescent="0.25">
      <c r="A25">
        <v>3.16</v>
      </c>
      <c r="B25" s="2" t="s">
        <v>45</v>
      </c>
      <c r="C25" s="43"/>
      <c r="D25" s="9">
        <f t="shared" si="1"/>
        <v>0</v>
      </c>
    </row>
    <row r="26" spans="1:4" x14ac:dyDescent="0.25">
      <c r="A26">
        <v>3.17</v>
      </c>
      <c r="B26" s="2" t="s">
        <v>48</v>
      </c>
      <c r="C26" s="43"/>
      <c r="D26" s="9">
        <f t="shared" si="1"/>
        <v>0</v>
      </c>
    </row>
    <row r="27" spans="1:4" x14ac:dyDescent="0.25">
      <c r="C27" s="44"/>
    </row>
    <row r="28" spans="1:4" x14ac:dyDescent="0.25">
      <c r="B28" s="8" t="s">
        <v>31</v>
      </c>
      <c r="C28" s="44"/>
    </row>
    <row r="29" spans="1:4" x14ac:dyDescent="0.25">
      <c r="B29" t="s">
        <v>30</v>
      </c>
      <c r="C29" s="44"/>
    </row>
    <row r="30" spans="1:4" x14ac:dyDescent="0.25">
      <c r="A30">
        <v>3.18</v>
      </c>
      <c r="B30" s="2" t="s">
        <v>325</v>
      </c>
      <c r="C30" s="43"/>
      <c r="D30" s="9" t="e">
        <f>VLOOKUP(C30,References!B246:C248, 2, FALSE)</f>
        <v>#N/A</v>
      </c>
    </row>
    <row r="31" spans="1:4" x14ac:dyDescent="0.25">
      <c r="A31">
        <v>3.19</v>
      </c>
      <c r="B31" s="2" t="s">
        <v>32</v>
      </c>
      <c r="C31" s="43"/>
      <c r="D31" s="9">
        <f t="shared" ref="D31:D34" si="2">IF(C31="Yes",5,0)</f>
        <v>0</v>
      </c>
    </row>
    <row r="32" spans="1:4" x14ac:dyDescent="0.25">
      <c r="A32" s="7">
        <v>3.2</v>
      </c>
      <c r="B32" s="2" t="s">
        <v>33</v>
      </c>
      <c r="C32" s="43"/>
      <c r="D32" s="9">
        <f t="shared" si="2"/>
        <v>0</v>
      </c>
    </row>
    <row r="33" spans="1:4" x14ac:dyDescent="0.25">
      <c r="A33">
        <v>3.21</v>
      </c>
      <c r="B33" s="2" t="s">
        <v>34</v>
      </c>
      <c r="C33" s="43"/>
      <c r="D33" s="9">
        <f t="shared" si="2"/>
        <v>0</v>
      </c>
    </row>
    <row r="34" spans="1:4" x14ac:dyDescent="0.25">
      <c r="A34">
        <v>3.22</v>
      </c>
      <c r="B34" s="2" t="s">
        <v>35</v>
      </c>
      <c r="C34" s="43"/>
      <c r="D34" s="9">
        <f t="shared" si="2"/>
        <v>0</v>
      </c>
    </row>
    <row r="35" spans="1:4" x14ac:dyDescent="0.25">
      <c r="C35" s="44"/>
    </row>
    <row r="36" spans="1:4" x14ac:dyDescent="0.25">
      <c r="B36" s="6" t="s">
        <v>41</v>
      </c>
      <c r="C36" s="44"/>
    </row>
    <row r="37" spans="1:4" x14ac:dyDescent="0.25">
      <c r="B37" t="s">
        <v>42</v>
      </c>
      <c r="C37" s="44"/>
    </row>
    <row r="38" spans="1:4" x14ac:dyDescent="0.25">
      <c r="A38">
        <v>3.23</v>
      </c>
      <c r="B38" s="2" t="s">
        <v>36</v>
      </c>
      <c r="C38" s="43"/>
      <c r="D38" s="9">
        <f t="shared" ref="D38:D43" si="3">IF(C38="Yes",5,0)</f>
        <v>0</v>
      </c>
    </row>
    <row r="39" spans="1:4" x14ac:dyDescent="0.25">
      <c r="A39">
        <v>3.24</v>
      </c>
      <c r="B39" s="2" t="s">
        <v>37</v>
      </c>
      <c r="C39" s="43"/>
      <c r="D39" s="9">
        <f t="shared" si="3"/>
        <v>0</v>
      </c>
    </row>
    <row r="40" spans="1:4" x14ac:dyDescent="0.25">
      <c r="A40">
        <v>3.25</v>
      </c>
      <c r="B40" s="2" t="s">
        <v>38</v>
      </c>
      <c r="C40" s="43"/>
      <c r="D40" s="9">
        <f t="shared" si="3"/>
        <v>0</v>
      </c>
    </row>
    <row r="41" spans="1:4" x14ac:dyDescent="0.25">
      <c r="A41">
        <v>3.26</v>
      </c>
      <c r="B41" s="2" t="s">
        <v>286</v>
      </c>
      <c r="C41" s="43"/>
      <c r="D41" s="9">
        <f t="shared" si="3"/>
        <v>0</v>
      </c>
    </row>
    <row r="42" spans="1:4" x14ac:dyDescent="0.25">
      <c r="A42">
        <v>3.27</v>
      </c>
      <c r="B42" s="2" t="s">
        <v>39</v>
      </c>
      <c r="C42" s="43"/>
      <c r="D42" s="9">
        <f t="shared" si="3"/>
        <v>0</v>
      </c>
    </row>
    <row r="43" spans="1:4" ht="30" x14ac:dyDescent="0.25">
      <c r="A43">
        <v>3.28</v>
      </c>
      <c r="B43" s="5" t="s">
        <v>40</v>
      </c>
      <c r="C43" s="43"/>
      <c r="D43" s="9">
        <f t="shared" si="3"/>
        <v>0</v>
      </c>
    </row>
    <row r="45" spans="1:4" x14ac:dyDescent="0.25">
      <c r="B45" s="3" t="s">
        <v>46</v>
      </c>
      <c r="D45" s="14" t="e">
        <f>SUM(D6:D43)</f>
        <v>#N/A</v>
      </c>
    </row>
    <row r="46" spans="1:4" x14ac:dyDescent="0.25">
      <c r="B46" s="3" t="s">
        <v>47</v>
      </c>
      <c r="D46" s="14" t="e">
        <f>IF(D45&lt;37,0,IF(D45&lt;73,1,IF(D45&lt;109,2,3)))</f>
        <v>#N/A</v>
      </c>
    </row>
    <row r="48" spans="1:4" x14ac:dyDescent="0.25">
      <c r="B48" t="s">
        <v>378</v>
      </c>
    </row>
    <row r="49" spans="2:2" ht="30.95" customHeight="1" x14ac:dyDescent="0.25">
      <c r="B49" s="40"/>
    </row>
  </sheetData>
  <sheetProtection algorithmName="SHA-512" hashValue="zgWZd0vLWiq3RUO5XuFQff2Tb5tF4IPp02xxebxFDB6490g1+CUPpFZhkUi7QKTqzXjiG7YNkeW1jJWIehhTJA==" saltValue="Ed3T4Hl+O0RPeoEppSPp8w==" spinCount="100000" sheet="1" objects="1" scenarios="1"/>
  <conditionalFormatting sqref="D45">
    <cfRule type="cellIs" dxfId="41" priority="5" operator="greaterThanOrEqual">
      <formula>109</formula>
    </cfRule>
    <cfRule type="cellIs" dxfId="40" priority="6" operator="between">
      <formula>73</formula>
      <formula>109</formula>
    </cfRule>
    <cfRule type="cellIs" dxfId="39" priority="7" operator="between">
      <formula>37</formula>
      <formula>73</formula>
    </cfRule>
    <cfRule type="cellIs" dxfId="38" priority="8" operator="lessThan">
      <formula>37</formula>
    </cfRule>
  </conditionalFormatting>
  <conditionalFormatting sqref="D46">
    <cfRule type="cellIs" dxfId="37" priority="1" operator="equal">
      <formula>3</formula>
    </cfRule>
    <cfRule type="cellIs" dxfId="36" priority="2" operator="equal">
      <formula>2</formula>
    </cfRule>
    <cfRule type="cellIs" dxfId="35" priority="3" operator="equal">
      <formula>1</formula>
    </cfRule>
    <cfRule type="cellIs" dxfId="34" priority="4" operator="equal">
      <formula>0</formula>
    </cfRule>
  </conditionalFormatting>
  <dataValidations count="4">
    <dataValidation type="list" showInputMessage="1" showErrorMessage="1" sqref="C2" xr:uid="{00000000-0002-0000-0400-000000000000}">
      <formula1>YesNo</formula1>
    </dataValidation>
    <dataValidation type="list" allowBlank="1" showInputMessage="1" showErrorMessage="1" sqref="C38:C43 C7:C13 C17:C26 C31:C34" xr:uid="{00000000-0002-0000-0400-000001000000}">
      <formula1>YesNo</formula1>
    </dataValidation>
    <dataValidation type="list" allowBlank="1" showInputMessage="1" showErrorMessage="1" sqref="C30" xr:uid="{00000000-0002-0000-0400-000002000000}">
      <formula1>Pond</formula1>
    </dataValidation>
    <dataValidation type="date" allowBlank="1" showInputMessage="1" showErrorMessage="1" sqref="F1" xr:uid="{00000000-0002-0000-0400-000003000000}">
      <formula1>43666</formula1>
      <formula2>109939</formula2>
    </dataValidation>
  </dataValidations>
  <hyperlinks>
    <hyperlink ref="F4" r:id="rId1"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C8" sqref="C8"/>
    </sheetView>
  </sheetViews>
  <sheetFormatPr defaultRowHeight="15" x14ac:dyDescent="0.25"/>
  <cols>
    <col min="1" max="1" width="6" customWidth="1"/>
    <col min="2" max="2" width="73.85546875" customWidth="1"/>
    <col min="3" max="3" width="35.5703125" customWidth="1"/>
    <col min="5" max="8" width="8.7109375" hidden="1" customWidth="1"/>
  </cols>
  <sheetData>
    <row r="1" spans="1:9" x14ac:dyDescent="0.25">
      <c r="A1" s="1" t="s">
        <v>3</v>
      </c>
      <c r="B1" s="3" t="s">
        <v>313</v>
      </c>
      <c r="C1" s="41"/>
    </row>
    <row r="2" spans="1:9" x14ac:dyDescent="0.25">
      <c r="C2" s="44"/>
    </row>
    <row r="3" spans="1:9" x14ac:dyDescent="0.25">
      <c r="A3" s="1" t="s">
        <v>10</v>
      </c>
      <c r="B3" s="1" t="s">
        <v>8</v>
      </c>
      <c r="C3" s="45" t="s">
        <v>9</v>
      </c>
      <c r="D3" s="1" t="s">
        <v>11</v>
      </c>
      <c r="E3" s="1" t="s">
        <v>231</v>
      </c>
    </row>
    <row r="4" spans="1:9" x14ac:dyDescent="0.25">
      <c r="A4">
        <v>4.0999999999999996</v>
      </c>
      <c r="B4" t="s">
        <v>346</v>
      </c>
      <c r="C4" s="46"/>
      <c r="D4" s="9" t="e">
        <f>VLOOKUP(C4,References!B250:C260,2,FALSE)</f>
        <v>#N/A</v>
      </c>
      <c r="E4" t="e">
        <f>IF(D4=0,0,20)</f>
        <v>#N/A</v>
      </c>
    </row>
    <row r="5" spans="1:9" x14ac:dyDescent="0.25">
      <c r="A5">
        <v>4.2</v>
      </c>
      <c r="B5" t="s">
        <v>347</v>
      </c>
      <c r="C5" s="46"/>
      <c r="D5" s="9" t="e">
        <f>VLOOKUP(C5,References!B250:C259,2,FALSE)</f>
        <v>#N/A</v>
      </c>
      <c r="E5">
        <v>10</v>
      </c>
    </row>
    <row r="6" spans="1:9" x14ac:dyDescent="0.25">
      <c r="A6">
        <v>4.3</v>
      </c>
      <c r="B6" t="s">
        <v>218</v>
      </c>
      <c r="C6" s="47"/>
      <c r="D6" s="9" t="e">
        <f>IF(F6=0,20,IF(F6&lt;0.6,10,IF(F6&lt;1,5,0)))</f>
        <v>#DIV/0!</v>
      </c>
      <c r="E6">
        <v>20</v>
      </c>
      <c r="F6" t="e">
        <f>C6/Overview!D3</f>
        <v>#DIV/0!</v>
      </c>
    </row>
    <row r="7" spans="1:9" x14ac:dyDescent="0.25">
      <c r="A7">
        <v>4.4000000000000004</v>
      </c>
      <c r="B7" t="s">
        <v>219</v>
      </c>
      <c r="C7" s="46"/>
      <c r="D7" s="9" t="e">
        <f>VLOOKUP(C7,References!B158:C160,2,FALSE)</f>
        <v>#N/A</v>
      </c>
      <c r="E7">
        <v>10</v>
      </c>
    </row>
    <row r="8" spans="1:9" x14ac:dyDescent="0.25">
      <c r="A8">
        <v>4.5</v>
      </c>
      <c r="B8" t="s">
        <v>214</v>
      </c>
      <c r="C8" s="46"/>
      <c r="D8" s="9" t="e">
        <f>VLOOKUP(C8,References!B169:C174,2,FALSE)</f>
        <v>#N/A</v>
      </c>
      <c r="E8">
        <f>IF(C8="Not applicable (we don't have a car)",0,15)</f>
        <v>15</v>
      </c>
    </row>
    <row r="9" spans="1:9" x14ac:dyDescent="0.25">
      <c r="A9">
        <v>4.5999999999999996</v>
      </c>
      <c r="B9" t="s">
        <v>330</v>
      </c>
      <c r="C9" s="47"/>
      <c r="D9" s="9" t="e">
        <f>IF($H9=0,25,IF($H9&lt;26,20,IF($H9&lt;40,15,IF($H9&lt;61,10,IF($H9&lt;100,5,IF($H9&lt;201,3,IF($H9&lt;401,2,IF($H9&lt;800,1,0))))))))</f>
        <v>#DIV/0!</v>
      </c>
      <c r="E9">
        <v>25</v>
      </c>
      <c r="F9" t="e">
        <f>C9/Overview!D3</f>
        <v>#DIV/0!</v>
      </c>
      <c r="G9" t="e">
        <f>VLOOKUP(C8,References!B169:D173,3,FALSE)</f>
        <v>#N/A</v>
      </c>
      <c r="H9" t="e">
        <f>F9*G9</f>
        <v>#DIV/0!</v>
      </c>
      <c r="I9" t="s">
        <v>237</v>
      </c>
    </row>
    <row r="10" spans="1:9" x14ac:dyDescent="0.25">
      <c r="A10">
        <v>4.7</v>
      </c>
      <c r="B10" t="s">
        <v>331</v>
      </c>
      <c r="C10" s="47"/>
      <c r="D10" s="9" t="e">
        <f>IF($H10=0,25,IF($H10&lt;26,20,IF($H10&lt;40,15,IF($H10&lt;61,10,IF($H10&lt;100,5,IF($H10&lt;201,3,IF($H10&lt;401,2,IF($H10&lt;800,1,0))))))))</f>
        <v>#DIV/0!</v>
      </c>
      <c r="E10">
        <f>IF(C10=0,0,20)</f>
        <v>0</v>
      </c>
      <c r="F10" t="e">
        <f>C10/Overview!D3</f>
        <v>#DIV/0!</v>
      </c>
      <c r="G10">
        <v>0.5</v>
      </c>
      <c r="H10" t="e">
        <f>F10*G10</f>
        <v>#DIV/0!</v>
      </c>
      <c r="I10" t="s">
        <v>237</v>
      </c>
    </row>
    <row r="11" spans="1:9" x14ac:dyDescent="0.25">
      <c r="A11">
        <v>4.8</v>
      </c>
      <c r="B11" t="s">
        <v>332</v>
      </c>
      <c r="C11" s="47"/>
      <c r="D11" s="9" t="e">
        <f>IF($H11=0,25,IF($H11&lt;26,20,IF($H11&lt;40,15,IF($H11&lt;61,10,IF($H11&lt;100,5,IF($H11&lt;201,3,IF($H11&lt;401,2,IF($H11&lt;800,1,0))))))))</f>
        <v>#DIV/0!</v>
      </c>
      <c r="E11">
        <f>IF(C11=0,0,20)</f>
        <v>0</v>
      </c>
      <c r="F11" t="e">
        <f>C11/Overview!$D$3</f>
        <v>#DIV/0!</v>
      </c>
      <c r="G11">
        <v>0.2</v>
      </c>
      <c r="H11" t="e">
        <f>F11*G11</f>
        <v>#DIV/0!</v>
      </c>
      <c r="I11" t="s">
        <v>237</v>
      </c>
    </row>
    <row r="12" spans="1:9" x14ac:dyDescent="0.25">
      <c r="A12">
        <v>4.9000000000000004</v>
      </c>
      <c r="B12" t="s">
        <v>232</v>
      </c>
      <c r="C12" s="46"/>
      <c r="D12" s="9" t="e">
        <f>VLOOKUP(C12,References!B191:C196,2,FALSE)</f>
        <v>#N/A</v>
      </c>
      <c r="E12">
        <f>IF(C12="Not applicable (do not travel by car)",0,15)</f>
        <v>15</v>
      </c>
      <c r="I12" t="s">
        <v>237</v>
      </c>
    </row>
    <row r="13" spans="1:9" x14ac:dyDescent="0.25">
      <c r="A13" s="7">
        <v>4.0999999999999996</v>
      </c>
      <c r="B13" t="s">
        <v>373</v>
      </c>
      <c r="C13" s="48"/>
      <c r="D13" s="9" t="e">
        <f>VLOOKUP(C13,References!B199:C200,2,FALSE)</f>
        <v>#N/A</v>
      </c>
      <c r="E13">
        <v>20</v>
      </c>
    </row>
    <row r="14" spans="1:9" x14ac:dyDescent="0.25">
      <c r="A14">
        <v>4.1100000000000003</v>
      </c>
      <c r="B14" t="s">
        <v>333</v>
      </c>
      <c r="C14" s="46"/>
      <c r="D14" s="9">
        <v>0</v>
      </c>
      <c r="E14">
        <v>0</v>
      </c>
      <c r="I14" t="s">
        <v>334</v>
      </c>
    </row>
    <row r="15" spans="1:9" ht="45" x14ac:dyDescent="0.25">
      <c r="A15">
        <v>4.12</v>
      </c>
      <c r="B15" s="10" t="s">
        <v>256</v>
      </c>
      <c r="C15" s="47"/>
      <c r="D15" s="9" t="e">
        <f>IF(H15=0,0,IF(H15&lt;500,-20,IF(H15&lt;1000,-60,IF(H15&lt;1500,-80,IF(H15&lt;2000,-110,IF(H15&lt;3000,-55,IF(H15&lt;4000,-150,IF(H15&lt;5000,-190,IF(H15&lt;6000,-230,-270)))))))))</f>
        <v>#DIV/0!</v>
      </c>
      <c r="E15">
        <v>0</v>
      </c>
      <c r="F15" t="e">
        <f>C15/Overview!D3</f>
        <v>#DIV/0!</v>
      </c>
      <c r="G15" t="e">
        <f>VLOOKUP(C14,References!B215:C219,2,FALSE)</f>
        <v>#N/A</v>
      </c>
      <c r="H15" t="e">
        <f>F15*G15</f>
        <v>#DIV/0!</v>
      </c>
      <c r="I15" s="16" t="s">
        <v>239</v>
      </c>
    </row>
    <row r="16" spans="1:9" x14ac:dyDescent="0.25">
      <c r="A16">
        <v>4.13</v>
      </c>
      <c r="B16" t="s">
        <v>262</v>
      </c>
      <c r="C16" s="46"/>
      <c r="D16" s="9" t="e">
        <f>-F16*D15</f>
        <v>#N/A</v>
      </c>
      <c r="E16">
        <v>0</v>
      </c>
      <c r="F16" t="e">
        <f>VLOOKUP(C16,References!B228:C231,2,FALSE)</f>
        <v>#N/A</v>
      </c>
    </row>
    <row r="17" spans="1:9" x14ac:dyDescent="0.25">
      <c r="A17">
        <v>4.1399999999999997</v>
      </c>
      <c r="B17" t="s">
        <v>265</v>
      </c>
      <c r="C17" s="46"/>
      <c r="D17" s="20" t="e">
        <f>G17*F17</f>
        <v>#DIV/0!</v>
      </c>
      <c r="E17">
        <v>0</v>
      </c>
      <c r="F17" t="e">
        <f>VLOOKUP(C17,References!$B$228:$C$231,2,FALSE)</f>
        <v>#N/A</v>
      </c>
      <c r="G17" t="e">
        <f>25-D9</f>
        <v>#DIV/0!</v>
      </c>
    </row>
    <row r="18" spans="1:9" x14ac:dyDescent="0.25">
      <c r="A18">
        <v>4.1500000000000004</v>
      </c>
      <c r="B18" t="s">
        <v>282</v>
      </c>
      <c r="C18" s="43"/>
      <c r="D18" s="9">
        <f>IF(C18="No",20,0)</f>
        <v>0</v>
      </c>
      <c r="E18">
        <v>20</v>
      </c>
    </row>
    <row r="19" spans="1:9" ht="45" x14ac:dyDescent="0.25">
      <c r="A19">
        <v>4.16</v>
      </c>
      <c r="B19" s="10" t="s">
        <v>264</v>
      </c>
      <c r="C19" s="47"/>
      <c r="D19" s="9" t="e">
        <f>IF(F19=0,0,IF(F19&lt;500,-20,IF(F19&lt;1000,-60,IF(F19&lt;1500,-80,IF(F19&lt;2000,-110,IF(F19&lt;3000,-55,IF(F19&lt;4000,-150,IF(F19&lt;5000,-190,IF(F19&lt;6000,-230,-270)))))))))</f>
        <v>#DIV/0!</v>
      </c>
      <c r="E19">
        <v>0</v>
      </c>
      <c r="F19" t="e">
        <f>C19/Overview!D3</f>
        <v>#DIV/0!</v>
      </c>
      <c r="I19" s="16" t="s">
        <v>263</v>
      </c>
    </row>
    <row r="20" spans="1:9" x14ac:dyDescent="0.25">
      <c r="A20">
        <v>4.17</v>
      </c>
      <c r="B20" t="s">
        <v>266</v>
      </c>
      <c r="C20" s="43"/>
      <c r="D20" s="9" t="e">
        <f>IF(C20="Not applicable",0,-F20*D19)</f>
        <v>#N/A</v>
      </c>
      <c r="E20">
        <v>0</v>
      </c>
      <c r="F20" t="e">
        <f>VLOOKUP(C20,References!B228:C231,2,FALSE)</f>
        <v>#N/A</v>
      </c>
      <c r="I20" t="s">
        <v>267</v>
      </c>
    </row>
    <row r="21" spans="1:9" x14ac:dyDescent="0.25">
      <c r="E21" t="e">
        <f>SUM(E4:E20)</f>
        <v>#N/A</v>
      </c>
    </row>
    <row r="22" spans="1:9" x14ac:dyDescent="0.25">
      <c r="B22" s="3" t="s">
        <v>46</v>
      </c>
      <c r="D22" s="14" t="e">
        <f>SUM(D4:D20)</f>
        <v>#N/A</v>
      </c>
    </row>
    <row r="23" spans="1:9" x14ac:dyDescent="0.25">
      <c r="B23" s="3" t="s">
        <v>47</v>
      </c>
      <c r="D23" s="14" t="e">
        <f>IF(D22&lt;F23,0,IF(D22&lt;F24,1,IF(D22&lt;F25,2,3)))</f>
        <v>#N/A</v>
      </c>
      <c r="F23" t="e">
        <f>E21*0.25</f>
        <v>#N/A</v>
      </c>
    </row>
    <row r="24" spans="1:9" x14ac:dyDescent="0.25">
      <c r="F24" t="e">
        <f>E21*0.5</f>
        <v>#N/A</v>
      </c>
    </row>
    <row r="25" spans="1:9" x14ac:dyDescent="0.25">
      <c r="B25" t="s">
        <v>378</v>
      </c>
      <c r="F25" t="e">
        <f>E21*0.75</f>
        <v>#N/A</v>
      </c>
    </row>
    <row r="26" spans="1:9" ht="35.1" customHeight="1" x14ac:dyDescent="0.25">
      <c r="B26" s="40"/>
    </row>
  </sheetData>
  <sheetProtection algorithmName="SHA-512" hashValue="Juw9OCp+NYsXGZx22aet7Ksjf7nxZqw7Nh4F7ITg7q3ZGIwhISTG8I/HKS4000tKRsY5TnK1kuODb3AnfydG5g==" saltValue="0qegns5wvNJt8qzxdJVQ+g==" spinCount="100000" sheet="1" objects="1" scenarios="1"/>
  <conditionalFormatting sqref="D22">
    <cfRule type="cellIs" dxfId="33" priority="5" operator="greaterThanOrEqual">
      <formula>$F$25</formula>
    </cfRule>
    <cfRule type="cellIs" dxfId="32" priority="6" operator="between">
      <formula>$F$24</formula>
      <formula>"&lt;$F$25"</formula>
    </cfRule>
    <cfRule type="cellIs" dxfId="31" priority="7" operator="between">
      <formula>$F$23</formula>
      <formula>"&lt;$F$24"</formula>
    </cfRule>
    <cfRule type="cellIs" dxfId="30" priority="8" operator="lessThan">
      <formula>$F$23</formula>
    </cfRule>
  </conditionalFormatting>
  <conditionalFormatting sqref="D23">
    <cfRule type="cellIs" dxfId="29" priority="1" operator="equal">
      <formula>3</formula>
    </cfRule>
    <cfRule type="cellIs" dxfId="28" priority="2" operator="equal">
      <formula>2</formula>
    </cfRule>
    <cfRule type="cellIs" dxfId="27" priority="3" operator="equal">
      <formula>1</formula>
    </cfRule>
    <cfRule type="cellIs" dxfId="26" priority="4" operator="equal">
      <formula>0</formula>
    </cfRule>
  </conditionalFormatting>
  <dataValidations count="13">
    <dataValidation type="list" allowBlank="1" showInputMessage="1" showErrorMessage="1" sqref="C5" xr:uid="{00000000-0002-0000-0500-000000000000}">
      <formula1>All_of_us_whenever_possible</formula1>
    </dataValidation>
    <dataValidation type="whole" allowBlank="1" showInputMessage="1" showErrorMessage="1" sqref="C6" xr:uid="{00000000-0002-0000-0500-000001000000}">
      <formula1>0</formula1>
      <formula2>10</formula2>
    </dataValidation>
    <dataValidation type="list" allowBlank="1" showInputMessage="1" showErrorMessage="1" sqref="C7" xr:uid="{00000000-0002-0000-0500-000002000000}">
      <formula1>carchoice</formula1>
    </dataValidation>
    <dataValidation type="list" allowBlank="1" showInputMessage="1" showErrorMessage="1" sqref="C8" xr:uid="{00000000-0002-0000-0500-000003000000}">
      <formula1>car_power</formula1>
    </dataValidation>
    <dataValidation type="whole" allowBlank="1" showInputMessage="1" showErrorMessage="1" sqref="C9:C11" xr:uid="{00000000-0002-0000-0500-000004000000}">
      <formula1>0</formula1>
      <formula2>5000</formula2>
    </dataValidation>
    <dataValidation type="list" allowBlank="1" showInputMessage="1" showErrorMessage="1" sqref="C12" xr:uid="{00000000-0002-0000-0500-000005000000}">
      <formula1>car_share</formula1>
    </dataValidation>
    <dataValidation type="list" allowBlank="1" showInputMessage="1" showErrorMessage="1" sqref="C13" xr:uid="{00000000-0002-0000-0500-000006000000}">
      <formula1>Flights_binary</formula1>
    </dataValidation>
    <dataValidation type="whole" allowBlank="1" showInputMessage="1" showErrorMessage="1" sqref="C15 C19" xr:uid="{00000000-0002-0000-0500-000007000000}">
      <formula1>0</formula1>
      <formula2>200000</formula2>
    </dataValidation>
    <dataValidation type="list" allowBlank="1" showInputMessage="1" showErrorMessage="1" sqref="C14" xr:uid="{00000000-0002-0000-0500-000008000000}">
      <formula1>flight_class</formula1>
    </dataValidation>
    <dataValidation type="list" allowBlank="1" showInputMessage="1" showErrorMessage="1" sqref="C20 C16:C17" xr:uid="{00000000-0002-0000-0500-000009000000}">
      <formula1>offsetting_revised</formula1>
    </dataValidation>
    <dataValidation type="list" allowBlank="1" showInputMessage="1" showErrorMessage="1" sqref="C18" xr:uid="{00000000-0002-0000-0500-00000B000000}">
      <formula1>YesNo</formula1>
    </dataValidation>
    <dataValidation type="list" allowBlank="1" showInputMessage="1" showErrorMessage="1" sqref="C4" xr:uid="{00000000-0002-0000-0500-00000C000000}">
      <formula1>car_use</formula1>
    </dataValidation>
    <dataValidation type="date" allowBlank="1" showInputMessage="1" showErrorMessage="1" sqref="C1" xr:uid="{00000000-0002-0000-0500-00000D000000}">
      <formula1>43666</formula1>
      <formula2>109939</formula2>
    </dataValidation>
  </dataValidations>
  <hyperlinks>
    <hyperlink ref="I15" r:id="rId1" xr:uid="{00000000-0004-0000-0500-000000000000}"/>
    <hyperlink ref="I19" r:id="rId2"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1"/>
  <sheetViews>
    <sheetView zoomScaleNormal="100" workbookViewId="0">
      <selection activeCell="A27" sqref="A27"/>
    </sheetView>
  </sheetViews>
  <sheetFormatPr defaultRowHeight="15" x14ac:dyDescent="0.25"/>
  <cols>
    <col min="1" max="1" width="5.28515625" customWidth="1"/>
    <col min="2" max="2" width="58.85546875" customWidth="1"/>
    <col min="3" max="3" width="22.5703125" customWidth="1"/>
    <col min="5" max="6" width="8.7109375" hidden="1" customWidth="1"/>
    <col min="7" max="7" width="29.85546875" customWidth="1"/>
  </cols>
  <sheetData>
    <row r="1" spans="1:7" x14ac:dyDescent="0.25">
      <c r="A1" s="32" t="s">
        <v>4</v>
      </c>
      <c r="B1" s="3" t="s">
        <v>313</v>
      </c>
      <c r="C1" s="41"/>
    </row>
    <row r="2" spans="1:7" x14ac:dyDescent="0.25">
      <c r="C2" s="44"/>
    </row>
    <row r="3" spans="1:7" x14ac:dyDescent="0.25">
      <c r="A3" s="1" t="s">
        <v>10</v>
      </c>
      <c r="B3" s="1" t="s">
        <v>8</v>
      </c>
      <c r="C3" s="45" t="s">
        <v>9</v>
      </c>
      <c r="D3" s="1" t="s">
        <v>11</v>
      </c>
      <c r="E3" s="1"/>
      <c r="F3" s="1" t="s">
        <v>370</v>
      </c>
    </row>
    <row r="4" spans="1:7" x14ac:dyDescent="0.25">
      <c r="A4" s="37">
        <v>5.0999999999999996</v>
      </c>
      <c r="B4" s="37" t="s">
        <v>356</v>
      </c>
      <c r="C4" s="49"/>
      <c r="E4" s="37">
        <f>VLOOKUP($C4,References!$B$263:$G$273,2,FALSE)</f>
        <v>0</v>
      </c>
      <c r="F4" s="37"/>
      <c r="G4" t="s">
        <v>362</v>
      </c>
    </row>
    <row r="5" spans="1:7" x14ac:dyDescent="0.25">
      <c r="A5" s="37">
        <v>5.2</v>
      </c>
      <c r="B5" s="37" t="s">
        <v>357</v>
      </c>
      <c r="C5" s="49"/>
      <c r="D5" s="1"/>
      <c r="E5" s="37">
        <f>VLOOKUP($C5,References!$B$263:$G$273,3,FALSE)</f>
        <v>0</v>
      </c>
      <c r="F5" s="37"/>
      <c r="G5" t="s">
        <v>362</v>
      </c>
    </row>
    <row r="6" spans="1:7" x14ac:dyDescent="0.25">
      <c r="A6" s="37">
        <v>5.3</v>
      </c>
      <c r="B6" s="37" t="s">
        <v>358</v>
      </c>
      <c r="C6" s="49"/>
      <c r="D6" s="1"/>
      <c r="E6" s="37">
        <f>VLOOKUP($C6,References!$B$263:$G$273,4,FALSE)</f>
        <v>0</v>
      </c>
      <c r="F6" s="37"/>
      <c r="G6" t="s">
        <v>362</v>
      </c>
    </row>
    <row r="7" spans="1:7" x14ac:dyDescent="0.25">
      <c r="A7" s="37">
        <v>5.4</v>
      </c>
      <c r="B7" s="37" t="s">
        <v>359</v>
      </c>
      <c r="C7" s="49"/>
      <c r="D7" s="1"/>
      <c r="E7" s="37">
        <f>VLOOKUP($C7,References!$B$263:$G$273,5,FALSE)</f>
        <v>0</v>
      </c>
      <c r="F7" s="37"/>
      <c r="G7" t="s">
        <v>362</v>
      </c>
    </row>
    <row r="8" spans="1:7" x14ac:dyDescent="0.25">
      <c r="A8" s="37">
        <v>5.5</v>
      </c>
      <c r="B8" s="37" t="s">
        <v>360</v>
      </c>
      <c r="C8" s="49"/>
      <c r="D8" s="1"/>
      <c r="E8" s="37">
        <f>VLOOKUP($C8,References!$B$263:$G$273,5,FALSE)</f>
        <v>0</v>
      </c>
      <c r="F8" s="37"/>
      <c r="G8" t="s">
        <v>362</v>
      </c>
    </row>
    <row r="9" spans="1:7" ht="45" x14ac:dyDescent="0.25">
      <c r="B9" s="3" t="s">
        <v>361</v>
      </c>
      <c r="C9" s="50" t="str">
        <f>IF(SUM(C4:C8)=100%,"","Please check your figures above - they should add up to 100%")</f>
        <v>Please check your figures above - they should add up to 100%</v>
      </c>
      <c r="D9" s="38" t="str">
        <f>IF(SUM(C4:C8)=100%,SUM(E4:E8)+80,"!")</f>
        <v>!</v>
      </c>
      <c r="F9">
        <v>80</v>
      </c>
      <c r="G9" s="16"/>
    </row>
    <row r="10" spans="1:7" x14ac:dyDescent="0.25">
      <c r="A10">
        <v>5.6</v>
      </c>
      <c r="B10" t="s">
        <v>64</v>
      </c>
      <c r="C10" s="43"/>
      <c r="D10" s="9" t="e">
        <f>VLOOKUP(C10,References!B36:E40,4,FALSE)</f>
        <v>#N/A</v>
      </c>
      <c r="F10">
        <v>10</v>
      </c>
    </row>
    <row r="11" spans="1:7" x14ac:dyDescent="0.25">
      <c r="A11">
        <v>5.7</v>
      </c>
      <c r="B11" t="s">
        <v>65</v>
      </c>
      <c r="C11" s="43"/>
      <c r="D11" s="9" t="e">
        <f>VLOOKUP(C11,References!$B$36:$C$40,2,FALSE)</f>
        <v>#N/A</v>
      </c>
      <c r="F11">
        <v>5</v>
      </c>
    </row>
    <row r="12" spans="1:7" x14ac:dyDescent="0.25">
      <c r="A12">
        <v>5.8</v>
      </c>
      <c r="B12" t="s">
        <v>66</v>
      </c>
      <c r="C12" s="43"/>
      <c r="D12" s="9" t="e">
        <f>VLOOKUP(C12,References!B13:C18,2,FALSE)</f>
        <v>#N/A</v>
      </c>
      <c r="F12">
        <f>IF(C12="Not applicable: no garden",0,7)</f>
        <v>7</v>
      </c>
    </row>
    <row r="13" spans="1:7" x14ac:dyDescent="0.25">
      <c r="A13">
        <v>5.9</v>
      </c>
      <c r="B13" t="s">
        <v>371</v>
      </c>
      <c r="C13" s="43"/>
      <c r="D13" s="9" t="e">
        <f>VLOOKUP(C13,References!$B$36:$C$40,2,FALSE)</f>
        <v>#N/A</v>
      </c>
      <c r="F13">
        <v>5</v>
      </c>
      <c r="G13" s="16" t="s">
        <v>191</v>
      </c>
    </row>
    <row r="14" spans="1:7" x14ac:dyDescent="0.25">
      <c r="A14" s="7">
        <v>5.0999999999999996</v>
      </c>
      <c r="B14" t="s">
        <v>67</v>
      </c>
      <c r="C14" s="43"/>
      <c r="D14" s="9" t="e">
        <f>VLOOKUP(C14,References!$B$36:$E$40,4,FALSE)</f>
        <v>#N/A</v>
      </c>
      <c r="F14">
        <v>10</v>
      </c>
    </row>
    <row r="15" spans="1:7" x14ac:dyDescent="0.25">
      <c r="A15">
        <v>5.1100000000000003</v>
      </c>
      <c r="B15" t="s">
        <v>68</v>
      </c>
      <c r="C15" s="43"/>
      <c r="D15" s="9" t="e">
        <f>VLOOKUP(C15,References!$B$36:$E$40,4,FALSE)</f>
        <v>#N/A</v>
      </c>
      <c r="F15">
        <v>10</v>
      </c>
    </row>
    <row r="16" spans="1:7" x14ac:dyDescent="0.25">
      <c r="A16">
        <v>5.12</v>
      </c>
      <c r="B16" t="s">
        <v>69</v>
      </c>
      <c r="C16" s="43"/>
      <c r="D16" s="9" t="e">
        <f>VLOOKUP(C16,References!$B$36:$E$40,4,FALSE)</f>
        <v>#N/A</v>
      </c>
      <c r="F16">
        <v>10</v>
      </c>
    </row>
    <row r="17" spans="1:7" x14ac:dyDescent="0.25">
      <c r="A17">
        <v>5.13</v>
      </c>
      <c r="B17" t="s">
        <v>70</v>
      </c>
      <c r="C17" s="43"/>
      <c r="D17" s="9" t="e">
        <f>VLOOKUP(C17,References!$B$36:$C$40,2,FALSE)</f>
        <v>#N/A</v>
      </c>
      <c r="F17">
        <v>5</v>
      </c>
      <c r="G17" s="16" t="s">
        <v>192</v>
      </c>
    </row>
    <row r="18" spans="1:7" x14ac:dyDescent="0.25">
      <c r="A18">
        <v>5.14</v>
      </c>
      <c r="B18" t="s">
        <v>154</v>
      </c>
      <c r="C18" s="43"/>
      <c r="D18" s="9" t="e">
        <f>VLOOKUP(C18,References!B115:C118,2,FALSE)</f>
        <v>#N/A</v>
      </c>
      <c r="F18">
        <v>10</v>
      </c>
      <c r="G18" s="16" t="s">
        <v>193</v>
      </c>
    </row>
    <row r="19" spans="1:7" x14ac:dyDescent="0.25">
      <c r="A19">
        <v>5.15</v>
      </c>
      <c r="B19" t="s">
        <v>194</v>
      </c>
      <c r="C19" s="43"/>
      <c r="D19" s="9" t="e">
        <f>VLOOKUP(C19,References!B138:C140,2,FALSE)</f>
        <v>#N/A</v>
      </c>
      <c r="F19">
        <v>10</v>
      </c>
      <c r="G19" s="16" t="s">
        <v>195</v>
      </c>
    </row>
    <row r="20" spans="1:7" x14ac:dyDescent="0.25">
      <c r="A20">
        <v>5.16</v>
      </c>
      <c r="B20" t="s">
        <v>383</v>
      </c>
      <c r="C20" s="43"/>
      <c r="D20" s="9" t="e">
        <f>VLOOKUP(C20,References!B278:C282,2,FALSE)</f>
        <v>#N/A</v>
      </c>
      <c r="F20">
        <v>5</v>
      </c>
      <c r="G20" s="16"/>
    </row>
    <row r="21" spans="1:7" x14ac:dyDescent="0.25">
      <c r="A21">
        <v>5.17</v>
      </c>
      <c r="B21" t="s">
        <v>268</v>
      </c>
      <c r="C21" s="42"/>
      <c r="D21" s="9">
        <f>C21*E21</f>
        <v>0</v>
      </c>
      <c r="E21">
        <v>-5</v>
      </c>
      <c r="F21">
        <v>0</v>
      </c>
    </row>
    <row r="22" spans="1:7" x14ac:dyDescent="0.25">
      <c r="A22">
        <v>5.18</v>
      </c>
      <c r="B22" t="s">
        <v>269</v>
      </c>
      <c r="C22" s="42"/>
      <c r="D22" s="9">
        <f>C22*E22</f>
        <v>0</v>
      </c>
      <c r="E22">
        <v>-15</v>
      </c>
      <c r="F22">
        <v>0</v>
      </c>
    </row>
    <row r="23" spans="1:7" x14ac:dyDescent="0.25">
      <c r="A23">
        <v>5.19</v>
      </c>
      <c r="B23" t="s">
        <v>270</v>
      </c>
      <c r="C23" s="42"/>
      <c r="D23" s="9">
        <f>C23*E23</f>
        <v>0</v>
      </c>
      <c r="E23">
        <v>-30</v>
      </c>
      <c r="F23">
        <v>0</v>
      </c>
    </row>
    <row r="24" spans="1:7" x14ac:dyDescent="0.25">
      <c r="A24" s="7">
        <v>5.2</v>
      </c>
      <c r="B24" t="s">
        <v>271</v>
      </c>
      <c r="C24" s="43"/>
      <c r="D24" s="20" t="e">
        <f>-E24*(D21+D22+D23)</f>
        <v>#N/A</v>
      </c>
      <c r="E24" t="e">
        <f>VLOOKUP(C24,References!B234:C238,2,FALSE)</f>
        <v>#N/A</v>
      </c>
      <c r="F24">
        <v>0</v>
      </c>
      <c r="G24" s="16" t="s">
        <v>281</v>
      </c>
    </row>
    <row r="25" spans="1:7" x14ac:dyDescent="0.25">
      <c r="A25">
        <v>5.21</v>
      </c>
      <c r="B25" t="s">
        <v>277</v>
      </c>
      <c r="C25" s="42"/>
      <c r="D25" s="9">
        <f>C25*E25</f>
        <v>0</v>
      </c>
      <c r="E25">
        <v>-3</v>
      </c>
      <c r="F25">
        <v>0</v>
      </c>
    </row>
    <row r="26" spans="1:7" x14ac:dyDescent="0.25">
      <c r="A26">
        <v>5.22</v>
      </c>
      <c r="B26" t="s">
        <v>278</v>
      </c>
      <c r="C26" s="43"/>
      <c r="D26" s="20" t="e">
        <f>-E26*D25</f>
        <v>#N/A</v>
      </c>
      <c r="E26" t="e">
        <f>VLOOKUP(C26,References!B241:C243,2,FALSE)</f>
        <v>#N/A</v>
      </c>
      <c r="F26">
        <v>0</v>
      </c>
    </row>
    <row r="27" spans="1:7" x14ac:dyDescent="0.25">
      <c r="B27" s="3" t="s">
        <v>46</v>
      </c>
      <c r="D27" s="39" t="e">
        <f>SUM(D9:D26)</f>
        <v>#N/A</v>
      </c>
      <c r="F27">
        <f>SUM(F9:F26)</f>
        <v>167</v>
      </c>
    </row>
    <row r="28" spans="1:7" x14ac:dyDescent="0.25">
      <c r="B28" s="3" t="s">
        <v>47</v>
      </c>
      <c r="D28" s="14" t="e">
        <f>IF(D27&lt;0.25*F27,0,IF(D27&lt;0.5*F27,1,IF(D27&lt;0.75*F27,2,3)))</f>
        <v>#N/A</v>
      </c>
    </row>
    <row r="30" spans="1:7" x14ac:dyDescent="0.25">
      <c r="B30" t="s">
        <v>378</v>
      </c>
    </row>
    <row r="31" spans="1:7" ht="33" customHeight="1" x14ac:dyDescent="0.25">
      <c r="B31" s="40"/>
    </row>
  </sheetData>
  <sheetProtection algorithmName="SHA-512" hashValue="iNfwj2rCb0B+bSJhUM2RpyQVdAexVpX2/60XYu3CCI+s7mJYl1S9FMneyRSgo4EthvmZSDkzRe4XNtnoICmj4w==" saltValue="/Y2jeZE8cuozqrZ543Fkzw==" spinCount="100000" sheet="1" objects="1" scenarios="1"/>
  <conditionalFormatting sqref="D27">
    <cfRule type="cellIs" dxfId="25" priority="7" operator="greaterThanOrEqual">
      <formula>0.75*$F$27</formula>
    </cfRule>
    <cfRule type="cellIs" dxfId="24" priority="8" operator="between">
      <formula>0.5*$F$27</formula>
      <formula>0.74*$F$27</formula>
    </cfRule>
    <cfRule type="cellIs" dxfId="23" priority="9" operator="between">
      <formula>0.25*$F$27</formula>
      <formula>0.49*$F$27</formula>
    </cfRule>
    <cfRule type="cellIs" dxfId="22" priority="10" operator="lessThan">
      <formula>0.25%+$F$27</formula>
    </cfRule>
  </conditionalFormatting>
  <conditionalFormatting sqref="D28">
    <cfRule type="cellIs" dxfId="21" priority="3" operator="equal">
      <formula>3</formula>
    </cfRule>
    <cfRule type="cellIs" dxfId="20" priority="4" operator="equal">
      <formula>2</formula>
    </cfRule>
    <cfRule type="cellIs" dxfId="19" priority="5" operator="equal">
      <formula>1</formula>
    </cfRule>
    <cfRule type="cellIs" dxfId="18" priority="6" operator="equal">
      <formula>0</formula>
    </cfRule>
  </conditionalFormatting>
  <conditionalFormatting sqref="C9">
    <cfRule type="containsText" dxfId="17" priority="2" operator="containsText" text="Please">
      <formula>NOT(ISERROR(SEARCH("Please",C9)))</formula>
    </cfRule>
  </conditionalFormatting>
  <conditionalFormatting sqref="D9">
    <cfRule type="containsText" dxfId="16" priority="1" operator="containsText" text="!">
      <formula>NOT(ISERROR(SEARCH("!",D9)))</formula>
    </cfRule>
  </conditionalFormatting>
  <dataValidations count="10">
    <dataValidation type="list" allowBlank="1" showInputMessage="1" showErrorMessage="1" sqref="C12" xr:uid="{00000000-0002-0000-0600-000000000000}">
      <formula1>Grow_your_own</formula1>
    </dataValidation>
    <dataValidation type="list" allowBlank="1" showInputMessage="1" showErrorMessage="1" sqref="C10:C11 C13:C17" xr:uid="{00000000-0002-0000-0600-000001000000}">
      <formula1>Alwaysmostlysometimes</formula1>
    </dataValidation>
    <dataValidation type="list" allowBlank="1" showInputMessage="1" showErrorMessage="1" sqref="C18" xr:uid="{00000000-0002-0000-0600-000002000000}">
      <formula1>foodwaste</formula1>
    </dataValidation>
    <dataValidation type="list" allowBlank="1" showInputMessage="1" showErrorMessage="1" sqref="C19" xr:uid="{00000000-0002-0000-0600-000003000000}">
      <formula1>Regularly</formula1>
    </dataValidation>
    <dataValidation type="whole" allowBlank="1" showInputMessage="1" showErrorMessage="1" sqref="C21:C23 C25" xr:uid="{00000000-0002-0000-0600-000004000000}">
      <formula1>0</formula1>
      <formula2>10</formula2>
    </dataValidation>
    <dataValidation type="list" allowBlank="1" showInputMessage="1" showErrorMessage="1" sqref="C24" xr:uid="{00000000-0002-0000-0600-000005000000}">
      <formula1>pet_food</formula1>
    </dataValidation>
    <dataValidation type="list" allowBlank="1" showInputMessage="1" showErrorMessage="1" sqref="C26" xr:uid="{00000000-0002-0000-0600-000006000000}">
      <formula1>cat_food</formula1>
    </dataValidation>
    <dataValidation type="list" allowBlank="1" showInputMessage="1" showErrorMessage="1" sqref="C4:C8" xr:uid="{00000000-0002-0000-0600-000007000000}">
      <formula1>Diet_proportions</formula1>
    </dataValidation>
    <dataValidation type="date" allowBlank="1" showInputMessage="1" showErrorMessage="1" sqref="C1" xr:uid="{00000000-0002-0000-0600-000008000000}">
      <formula1>43666</formula1>
      <formula2>109939</formula2>
    </dataValidation>
    <dataValidation type="list" allowBlank="1" showInputMessage="1" showErrorMessage="1" sqref="C20" xr:uid="{00000000-0002-0000-0600-000009000000}">
      <formula1>bottled_water</formula1>
    </dataValidation>
  </dataValidations>
  <hyperlinks>
    <hyperlink ref="G13" r:id="rId1" xr:uid="{00000000-0004-0000-0600-000000000000}"/>
    <hyperlink ref="G17" r:id="rId2" xr:uid="{00000000-0004-0000-0600-000001000000}"/>
    <hyperlink ref="G18" r:id="rId3" xr:uid="{00000000-0004-0000-0600-000002000000}"/>
    <hyperlink ref="G19" r:id="rId4" xr:uid="{00000000-0004-0000-0600-000003000000}"/>
    <hyperlink ref="G24" r:id="rId5" xr:uid="{00000000-0004-0000-0600-000004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zoomScaleNormal="100" workbookViewId="0">
      <selection activeCell="C2" sqref="C2"/>
    </sheetView>
  </sheetViews>
  <sheetFormatPr defaultRowHeight="15" x14ac:dyDescent="0.25"/>
  <cols>
    <col min="1" max="1" width="12.5703125" bestFit="1" customWidth="1"/>
    <col min="2" max="2" width="65.85546875" customWidth="1"/>
    <col min="3" max="3" width="51.28515625" customWidth="1"/>
  </cols>
  <sheetData>
    <row r="1" spans="1:5" ht="30" x14ac:dyDescent="0.25">
      <c r="A1" s="28" t="s">
        <v>381</v>
      </c>
      <c r="B1" s="3" t="s">
        <v>313</v>
      </c>
      <c r="C1" s="41"/>
    </row>
    <row r="2" spans="1:5" x14ac:dyDescent="0.25">
      <c r="C2" s="44"/>
    </row>
    <row r="3" spans="1:5" x14ac:dyDescent="0.25">
      <c r="A3" s="1" t="s">
        <v>10</v>
      </c>
      <c r="B3" s="1" t="s">
        <v>8</v>
      </c>
      <c r="C3" s="45" t="s">
        <v>9</v>
      </c>
      <c r="D3" s="1" t="s">
        <v>11</v>
      </c>
    </row>
    <row r="4" spans="1:5" ht="18" customHeight="1" x14ac:dyDescent="0.25">
      <c r="A4">
        <v>6.1</v>
      </c>
      <c r="B4" s="10" t="s">
        <v>129</v>
      </c>
      <c r="C4" s="43"/>
      <c r="D4" s="9" t="e">
        <f>VLOOKUP(C4,References!$B$97:$C$100,2,FALSE)</f>
        <v>#N/A</v>
      </c>
      <c r="E4" s="16" t="s">
        <v>290</v>
      </c>
    </row>
    <row r="5" spans="1:5" ht="30" x14ac:dyDescent="0.25">
      <c r="A5">
        <v>6.2</v>
      </c>
      <c r="B5" s="10" t="s">
        <v>130</v>
      </c>
      <c r="C5" s="43"/>
      <c r="D5" s="9" t="e">
        <f>VLOOKUP(C5,References!$B$97:$C$100,2,FALSE)</f>
        <v>#N/A</v>
      </c>
    </row>
    <row r="6" spans="1:5" x14ac:dyDescent="0.25">
      <c r="A6">
        <v>6.3</v>
      </c>
      <c r="B6" t="s">
        <v>131</v>
      </c>
      <c r="C6" s="43"/>
      <c r="D6" s="9" t="e">
        <f>VLOOKUP(C6,References!$B$97:$C$100,2,FALSE)</f>
        <v>#N/A</v>
      </c>
      <c r="E6" s="16" t="s">
        <v>196</v>
      </c>
    </row>
    <row r="7" spans="1:5" ht="29.25" customHeight="1" x14ac:dyDescent="0.25">
      <c r="A7">
        <v>6.4</v>
      </c>
      <c r="B7" s="10" t="s">
        <v>132</v>
      </c>
      <c r="C7" s="43"/>
      <c r="D7" s="9" t="e">
        <f>VLOOKUP(C7,References!$B$97:$C$100,2,FALSE)</f>
        <v>#N/A</v>
      </c>
    </row>
    <row r="8" spans="1:5" ht="19.5" customHeight="1" x14ac:dyDescent="0.25">
      <c r="A8">
        <v>6.5</v>
      </c>
      <c r="B8" s="10" t="s">
        <v>133</v>
      </c>
      <c r="C8" s="43"/>
      <c r="D8" s="9" t="e">
        <f>VLOOKUP(C8,References!$B$97:$C$100,2,FALSE)</f>
        <v>#N/A</v>
      </c>
    </row>
    <row r="9" spans="1:5" ht="30" x14ac:dyDescent="0.25">
      <c r="A9">
        <v>6.6</v>
      </c>
      <c r="B9" s="10" t="s">
        <v>134</v>
      </c>
      <c r="C9" s="43"/>
      <c r="D9" s="9" t="e">
        <f>VLOOKUP(C9,References!$B$97:$C$100,2,FALSE)</f>
        <v>#N/A</v>
      </c>
    </row>
    <row r="10" spans="1:5" ht="30" x14ac:dyDescent="0.25">
      <c r="A10">
        <v>6.7</v>
      </c>
      <c r="B10" s="10" t="s">
        <v>135</v>
      </c>
      <c r="C10" s="43"/>
      <c r="D10" s="9" t="e">
        <f>VLOOKUP(C10,References!$B$97:$C$100,2,FALSE)</f>
        <v>#N/A</v>
      </c>
    </row>
    <row r="11" spans="1:5" ht="30" x14ac:dyDescent="0.25">
      <c r="A11">
        <v>6.8</v>
      </c>
      <c r="B11" s="10" t="s">
        <v>136</v>
      </c>
      <c r="C11" s="43"/>
      <c r="D11" s="9" t="e">
        <f>VLOOKUP(C11,References!$B$97:$C$100,2,FALSE)</f>
        <v>#N/A</v>
      </c>
    </row>
    <row r="12" spans="1:5" x14ac:dyDescent="0.25">
      <c r="A12">
        <v>6.9</v>
      </c>
      <c r="B12" s="10" t="s">
        <v>137</v>
      </c>
      <c r="C12" s="43"/>
      <c r="D12" s="9" t="e">
        <f>VLOOKUP(C12,References!B102:C106,2,FALSE)</f>
        <v>#N/A</v>
      </c>
    </row>
    <row r="13" spans="1:5" x14ac:dyDescent="0.25">
      <c r="A13" s="7">
        <v>6.1</v>
      </c>
      <c r="B13" s="10" t="s">
        <v>143</v>
      </c>
      <c r="C13" s="43"/>
      <c r="D13" s="9" t="e">
        <f>VLOOKUP(C13,References!$B$97:$C$100,2,FALSE)</f>
        <v>#N/A</v>
      </c>
    </row>
    <row r="14" spans="1:5" ht="30" x14ac:dyDescent="0.25">
      <c r="A14">
        <v>6.11</v>
      </c>
      <c r="B14" s="10" t="s">
        <v>197</v>
      </c>
      <c r="C14" s="43"/>
      <c r="D14" s="9">
        <f>IF(C14="Yes",5,0)</f>
        <v>0</v>
      </c>
      <c r="E14" s="16" t="s">
        <v>198</v>
      </c>
    </row>
    <row r="15" spans="1:5" x14ac:dyDescent="0.25">
      <c r="A15">
        <v>6.12</v>
      </c>
      <c r="B15" s="10" t="s">
        <v>144</v>
      </c>
      <c r="C15" s="43"/>
      <c r="D15" s="9" t="e">
        <f>VLOOKUP(C15,References!$B$97:$C$100,2,FALSE)</f>
        <v>#N/A</v>
      </c>
    </row>
    <row r="16" spans="1:5" x14ac:dyDescent="0.25">
      <c r="A16">
        <v>6.13</v>
      </c>
      <c r="B16" s="10" t="s">
        <v>145</v>
      </c>
      <c r="C16" s="43"/>
      <c r="D16" s="9" t="e">
        <f>VLOOKUP(C16,References!B108:C113,2,FALSE)</f>
        <v>#N/A</v>
      </c>
      <c r="E16" s="16" t="s">
        <v>199</v>
      </c>
    </row>
    <row r="17" spans="1:5" x14ac:dyDescent="0.25">
      <c r="A17">
        <v>6.14</v>
      </c>
      <c r="B17" s="10" t="s">
        <v>152</v>
      </c>
      <c r="C17" s="43"/>
      <c r="D17" s="9" t="e">
        <f>VLOOKUP(C17,References!$B$97:$C$100,2,FALSE)</f>
        <v>#N/A</v>
      </c>
    </row>
    <row r="18" spans="1:5" ht="30" x14ac:dyDescent="0.25">
      <c r="A18">
        <v>6.15</v>
      </c>
      <c r="B18" s="10" t="s">
        <v>161</v>
      </c>
      <c r="C18" s="43"/>
      <c r="D18" s="9" t="e">
        <f>VLOOKUP(C18,References!$B$97:$C$100,2,FALSE)</f>
        <v>#N/A</v>
      </c>
      <c r="E18" s="16" t="s">
        <v>200</v>
      </c>
    </row>
    <row r="19" spans="1:5" x14ac:dyDescent="0.25">
      <c r="A19">
        <v>6.16</v>
      </c>
      <c r="B19" s="10" t="s">
        <v>157</v>
      </c>
      <c r="C19" s="43"/>
      <c r="D19" s="9" t="e">
        <f>VLOOKUP(Possessions!C19,References!$B$97:$D$100,3,FALSE)</f>
        <v>#N/A</v>
      </c>
    </row>
    <row r="20" spans="1:5" ht="30" x14ac:dyDescent="0.25">
      <c r="A20">
        <v>6.17</v>
      </c>
      <c r="B20" s="10" t="s">
        <v>158</v>
      </c>
      <c r="C20" s="43"/>
      <c r="D20" s="9" t="e">
        <f>VLOOKUP(Possessions!C20,References!$B$97:$D$100,3,FALSE)</f>
        <v>#N/A</v>
      </c>
    </row>
    <row r="21" spans="1:5" x14ac:dyDescent="0.25">
      <c r="A21">
        <v>6.18</v>
      </c>
      <c r="B21" s="10" t="s">
        <v>159</v>
      </c>
      <c r="C21" s="43"/>
      <c r="D21" s="9" t="e">
        <f>VLOOKUP(Possessions!C21,References!$B$97:$D$100,3,FALSE)</f>
        <v>#N/A</v>
      </c>
    </row>
    <row r="22" spans="1:5" x14ac:dyDescent="0.25">
      <c r="A22">
        <v>6.19</v>
      </c>
      <c r="B22" s="12" t="s">
        <v>160</v>
      </c>
      <c r="C22" s="43"/>
      <c r="D22" s="9" t="e">
        <f>VLOOKUP(C22,References!B128:C130,2,FALSE)</f>
        <v>#N/A</v>
      </c>
    </row>
    <row r="23" spans="1:5" x14ac:dyDescent="0.25">
      <c r="B23" s="3" t="s">
        <v>46</v>
      </c>
      <c r="D23" s="14" t="e">
        <f>SUM(D4:D22)</f>
        <v>#N/A</v>
      </c>
    </row>
    <row r="24" spans="1:5" x14ac:dyDescent="0.25">
      <c r="B24" s="3" t="s">
        <v>47</v>
      </c>
      <c r="D24" s="14" t="e">
        <f>IF(D23&lt;46,0,IF(D23&lt;92,1,IF(D23&lt;138,2,3)))</f>
        <v>#N/A</v>
      </c>
    </row>
    <row r="26" spans="1:5" x14ac:dyDescent="0.25">
      <c r="B26" t="s">
        <v>378</v>
      </c>
    </row>
    <row r="27" spans="1:5" ht="32.450000000000003" customHeight="1" x14ac:dyDescent="0.25">
      <c r="B27" s="40"/>
    </row>
  </sheetData>
  <sheetProtection algorithmName="SHA-512" hashValue="xADybTeobR4KeszL3NoE3moZ1EuBIcjLwRM6XIfo++DYcwasxCGAgj8Piva+Is+TFsKeWutHcN0YlU5xWrTLlw==" saltValue="nMZ2aYtKDP4A0RQRVhxP2A==" spinCount="100000" sheet="1" objects="1" scenarios="1"/>
  <conditionalFormatting sqref="D23">
    <cfRule type="cellIs" dxfId="15" priority="5" operator="greaterThanOrEqual">
      <formula>138</formula>
    </cfRule>
    <cfRule type="cellIs" dxfId="14" priority="6" operator="between">
      <formula>92</formula>
      <formula>137</formula>
    </cfRule>
    <cfRule type="cellIs" dxfId="13" priority="7" operator="between">
      <formula>46</formula>
      <formula>91</formula>
    </cfRule>
    <cfRule type="cellIs" dxfId="12" priority="8" operator="lessThan">
      <formula>46</formula>
    </cfRule>
  </conditionalFormatting>
  <conditionalFormatting sqref="D24">
    <cfRule type="cellIs" dxfId="11" priority="1" operator="equal">
      <formula>3</formula>
    </cfRule>
    <cfRule type="cellIs" dxfId="10" priority="2" operator="equal">
      <formula>2</formula>
    </cfRule>
    <cfRule type="cellIs" dxfId="9" priority="3" operator="equal">
      <formula>1</formula>
    </cfRule>
    <cfRule type="cellIs" dxfId="8" priority="4" operator="equal">
      <formula>0</formula>
    </cfRule>
  </conditionalFormatting>
  <dataValidations count="6">
    <dataValidation type="list" allowBlank="1" showInputMessage="1" showErrorMessage="1" sqref="C4:C11 C13 C15 C17:C21" xr:uid="{00000000-0002-0000-0700-000000000000}">
      <formula1>Wheneverpossible</formula1>
    </dataValidation>
    <dataValidation type="list" allowBlank="1" showInputMessage="1" showErrorMessage="1" sqref="C12" xr:uid="{00000000-0002-0000-0700-000001000000}">
      <formula1>mobiles</formula1>
    </dataValidation>
    <dataValidation type="list" allowBlank="1" showInputMessage="1" showErrorMessage="1" sqref="C14" xr:uid="{00000000-0002-0000-0700-000002000000}">
      <formula1>YesNo</formula1>
    </dataValidation>
    <dataValidation type="list" allowBlank="1" showInputMessage="1" showErrorMessage="1" sqref="C16" xr:uid="{00000000-0002-0000-0700-000003000000}">
      <formula1>Recycle</formula1>
    </dataValidation>
    <dataValidation type="list" allowBlank="1" showInputMessage="1" showErrorMessage="1" sqref="C22" xr:uid="{00000000-0002-0000-0700-000004000000}">
      <formula1>Compost</formula1>
    </dataValidation>
    <dataValidation type="date" allowBlank="1" showInputMessage="1" showErrorMessage="1" sqref="C1" xr:uid="{00000000-0002-0000-0700-000005000000}">
      <formula1>43666</formula1>
      <formula2>109939</formula2>
    </dataValidation>
  </dataValidations>
  <hyperlinks>
    <hyperlink ref="E6" r:id="rId1" xr:uid="{00000000-0004-0000-0700-000000000000}"/>
    <hyperlink ref="E14" r:id="rId2" xr:uid="{00000000-0004-0000-0700-000001000000}"/>
    <hyperlink ref="E16" r:id="rId3" xr:uid="{00000000-0004-0000-0700-000002000000}"/>
    <hyperlink ref="E18" r:id="rId4" xr:uid="{00000000-0004-0000-0700-000003000000}"/>
    <hyperlink ref="E4" r:id="rId5" xr:uid="{00000000-0004-0000-0700-000004000000}"/>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zoomScale="120" zoomScaleNormal="120" workbookViewId="0">
      <selection activeCell="B16" sqref="B16"/>
    </sheetView>
  </sheetViews>
  <sheetFormatPr defaultRowHeight="15" x14ac:dyDescent="0.25"/>
  <cols>
    <col min="1" max="1" width="17.42578125" customWidth="1"/>
    <col min="2" max="2" width="82.7109375" customWidth="1"/>
    <col min="3" max="3" width="24.7109375" customWidth="1"/>
    <col min="5" max="5" width="9.140625" hidden="1" customWidth="1"/>
  </cols>
  <sheetData>
    <row r="1" spans="1:6" ht="45" x14ac:dyDescent="0.25">
      <c r="A1" s="28" t="s">
        <v>153</v>
      </c>
      <c r="B1" s="3" t="s">
        <v>313</v>
      </c>
      <c r="C1" s="41"/>
    </row>
    <row r="2" spans="1:6" x14ac:dyDescent="0.25">
      <c r="C2" s="44"/>
    </row>
    <row r="3" spans="1:6" x14ac:dyDescent="0.25">
      <c r="A3" s="1" t="s">
        <v>10</v>
      </c>
      <c r="B3" s="1" t="s">
        <v>8</v>
      </c>
      <c r="C3" s="45" t="s">
        <v>9</v>
      </c>
      <c r="D3" s="1" t="s">
        <v>11</v>
      </c>
    </row>
    <row r="4" spans="1:6" x14ac:dyDescent="0.25">
      <c r="A4">
        <v>7.1</v>
      </c>
      <c r="B4" t="s">
        <v>376</v>
      </c>
      <c r="C4" s="43"/>
      <c r="D4" s="9" t="e">
        <f>VLOOKUP(C4,References!$B$120:$C$122,2,FALSE)</f>
        <v>#N/A</v>
      </c>
      <c r="E4">
        <v>10</v>
      </c>
    </row>
    <row r="5" spans="1:6" x14ac:dyDescent="0.25">
      <c r="A5">
        <v>7.2</v>
      </c>
      <c r="B5" t="s">
        <v>164</v>
      </c>
      <c r="C5" s="43"/>
      <c r="D5" s="9">
        <f>IF(C5="YES",10,0)</f>
        <v>0</v>
      </c>
      <c r="E5">
        <v>10</v>
      </c>
      <c r="F5" s="16" t="s">
        <v>201</v>
      </c>
    </row>
    <row r="6" spans="1:6" x14ac:dyDescent="0.25">
      <c r="A6">
        <v>7.3</v>
      </c>
      <c r="B6" t="s">
        <v>165</v>
      </c>
      <c r="C6" s="43"/>
      <c r="D6" s="9">
        <f>IF(C6="YES",10,0)</f>
        <v>0</v>
      </c>
      <c r="E6">
        <v>10</v>
      </c>
      <c r="F6" s="16" t="s">
        <v>202</v>
      </c>
    </row>
    <row r="7" spans="1:6" x14ac:dyDescent="0.25">
      <c r="A7">
        <v>7.4</v>
      </c>
      <c r="B7" t="s">
        <v>166</v>
      </c>
      <c r="C7" s="43"/>
      <c r="D7" s="9">
        <f>IF(C7="YES",10,0)</f>
        <v>0</v>
      </c>
      <c r="E7">
        <v>10</v>
      </c>
    </row>
    <row r="8" spans="1:6" x14ac:dyDescent="0.25">
      <c r="A8">
        <v>7.5</v>
      </c>
      <c r="B8" t="s">
        <v>167</v>
      </c>
      <c r="C8" s="43"/>
      <c r="D8" s="9" t="e">
        <f>VLOOKUP(C8,References!$B$120:$C$122,2,FALSE)</f>
        <v>#N/A</v>
      </c>
      <c r="E8">
        <v>10</v>
      </c>
    </row>
    <row r="9" spans="1:6" x14ac:dyDescent="0.25">
      <c r="A9">
        <v>7.6</v>
      </c>
      <c r="B9" t="s">
        <v>168</v>
      </c>
      <c r="C9" s="43"/>
      <c r="D9" s="9" t="e">
        <f>VLOOKUP('Community &amp; Global Engagement'!C9,References!B132:C136,2,FALSE)</f>
        <v>#N/A</v>
      </c>
      <c r="E9">
        <v>25</v>
      </c>
    </row>
    <row r="10" spans="1:6" x14ac:dyDescent="0.25">
      <c r="A10">
        <v>7.7</v>
      </c>
      <c r="B10" t="s">
        <v>173</v>
      </c>
      <c r="C10" s="43"/>
      <c r="D10" s="9" t="e">
        <f>VLOOKUP(C10,References!$B$120:$C$122,2,FALSE)</f>
        <v>#N/A</v>
      </c>
      <c r="E10">
        <v>10</v>
      </c>
    </row>
    <row r="11" spans="1:6" x14ac:dyDescent="0.25">
      <c r="A11">
        <v>7.8</v>
      </c>
      <c r="B11" t="s">
        <v>174</v>
      </c>
      <c r="C11" s="43"/>
      <c r="D11" s="9" t="e">
        <f>VLOOKUP(C11,References!$B$120:$C$122,2,FALSE)</f>
        <v>#N/A</v>
      </c>
      <c r="E11">
        <v>10</v>
      </c>
    </row>
    <row r="12" spans="1:6" x14ac:dyDescent="0.25">
      <c r="A12">
        <v>7.9</v>
      </c>
      <c r="B12" t="s">
        <v>175</v>
      </c>
      <c r="C12" s="43"/>
      <c r="D12" s="9" t="e">
        <f>VLOOKUP(C12,References!B79:C81,2,FALSE)</f>
        <v>#N/A</v>
      </c>
      <c r="E12">
        <v>10</v>
      </c>
      <c r="F12" s="16" t="s">
        <v>203</v>
      </c>
    </row>
    <row r="13" spans="1:6" x14ac:dyDescent="0.25">
      <c r="A13" s="7">
        <v>7.1</v>
      </c>
      <c r="B13" t="s">
        <v>374</v>
      </c>
      <c r="C13" s="43"/>
      <c r="D13" s="9" t="e">
        <f>VLOOKUP(C13,References!B138:C140,2,FALSE)</f>
        <v>#N/A</v>
      </c>
      <c r="E13">
        <v>10</v>
      </c>
      <c r="F13" t="s">
        <v>375</v>
      </c>
    </row>
    <row r="14" spans="1:6" x14ac:dyDescent="0.25">
      <c r="A14">
        <v>7.11</v>
      </c>
      <c r="B14" t="s">
        <v>178</v>
      </c>
      <c r="C14" s="43"/>
      <c r="D14" s="9" t="e">
        <f>VLOOKUP(C14,References!B142:C145,2,FALSE)</f>
        <v>#N/A</v>
      </c>
      <c r="E14">
        <v>20</v>
      </c>
    </row>
    <row r="15" spans="1:6" x14ac:dyDescent="0.25">
      <c r="A15">
        <v>7.12</v>
      </c>
      <c r="B15" t="s">
        <v>372</v>
      </c>
      <c r="C15" s="43"/>
      <c r="D15" s="9" t="e">
        <f>VLOOKUP(C15,References!B147:C149,2,FALSE)</f>
        <v>#N/A</v>
      </c>
      <c r="E15">
        <f>IF(C15="Not applicable (no pension or state pension only)",0,10)</f>
        <v>10</v>
      </c>
      <c r="F15" s="16" t="s">
        <v>184</v>
      </c>
    </row>
    <row r="16" spans="1:6" x14ac:dyDescent="0.25">
      <c r="E16">
        <f>SUM(E4:E15)</f>
        <v>145</v>
      </c>
    </row>
    <row r="17" spans="2:5" x14ac:dyDescent="0.25">
      <c r="B17" s="3" t="s">
        <v>46</v>
      </c>
      <c r="D17" s="14" t="e">
        <f>SUM(D4:D15)</f>
        <v>#N/A</v>
      </c>
    </row>
    <row r="18" spans="2:5" x14ac:dyDescent="0.25">
      <c r="B18" s="3" t="s">
        <v>47</v>
      </c>
      <c r="D18" s="14" t="e">
        <f>IF(D17&lt;E20,0,IF(D17&lt;E19,1,IF(D17&lt;E18,2,3)))</f>
        <v>#N/A</v>
      </c>
      <c r="E18">
        <f>E16*0.75</f>
        <v>108.75</v>
      </c>
    </row>
    <row r="19" spans="2:5" x14ac:dyDescent="0.25">
      <c r="E19">
        <f>E16*0.5</f>
        <v>72.5</v>
      </c>
    </row>
    <row r="20" spans="2:5" x14ac:dyDescent="0.25">
      <c r="B20" t="s">
        <v>378</v>
      </c>
      <c r="E20" s="13">
        <f>E16*0.25</f>
        <v>36.25</v>
      </c>
    </row>
    <row r="21" spans="2:5" ht="30.95" customHeight="1" x14ac:dyDescent="0.25">
      <c r="B21" s="40"/>
    </row>
    <row r="23" spans="2:5" ht="33.6" customHeight="1" x14ac:dyDescent="0.25"/>
  </sheetData>
  <sheetProtection algorithmName="SHA-512" hashValue="ap/NmMN+jKe4nblpH94Kw0oo7NVsvDI+rYwHUlnaB1JuIUaZJgDCH5XgBDHxNq7HYWEGJl+zChZUBngUIOCu5A==" saltValue="pjINliWnH6T7xPJW3Wwu+w==" spinCount="100000" sheet="1" objects="1" scenarios="1"/>
  <conditionalFormatting sqref="D17">
    <cfRule type="cellIs" dxfId="7" priority="5" operator="greaterThanOrEqual">
      <formula>$E$18</formula>
    </cfRule>
    <cfRule type="cellIs" dxfId="6" priority="6" operator="between">
      <formula>$E$19</formula>
      <formula>"&lt;$E$18"</formula>
    </cfRule>
    <cfRule type="cellIs" dxfId="5" priority="7" operator="between">
      <formula>$E$20</formula>
      <formula>"&lt;$E$19"</formula>
    </cfRule>
    <cfRule type="cellIs" dxfId="4" priority="8" operator="lessThan">
      <formula>$E$20</formula>
    </cfRule>
  </conditionalFormatting>
  <conditionalFormatting sqref="D18">
    <cfRule type="cellIs" dxfId="3" priority="1" operator="equal">
      <formula>3</formula>
    </cfRule>
    <cfRule type="cellIs" dxfId="2" priority="2" operator="equal">
      <formula>2</formula>
    </cfRule>
    <cfRule type="cellIs" dxfId="1" priority="3" operator="equal">
      <formula>1</formula>
    </cfRule>
    <cfRule type="cellIs" dxfId="0" priority="4" operator="equal">
      <formula>0</formula>
    </cfRule>
  </conditionalFormatting>
  <dataValidations count="8">
    <dataValidation type="list" allowBlank="1" showInputMessage="1" showErrorMessage="1" sqref="C4 C8 C10:C11" xr:uid="{00000000-0002-0000-0800-000000000000}">
      <formula1>engage</formula1>
    </dataValidation>
    <dataValidation type="list" allowBlank="1" showInputMessage="1" showErrorMessage="1" sqref="C5:C7" xr:uid="{00000000-0002-0000-0800-000001000000}">
      <formula1>YesNo</formula1>
    </dataValidation>
    <dataValidation type="list" allowBlank="1" showInputMessage="1" showErrorMessage="1" sqref="C9" xr:uid="{00000000-0002-0000-0800-000002000000}">
      <formula1>volunteering</formula1>
    </dataValidation>
    <dataValidation type="list" allowBlank="1" showInputMessage="1" showErrorMessage="1" sqref="C12" xr:uid="{00000000-0002-0000-0800-000003000000}">
      <formula1>Allsomenone</formula1>
    </dataValidation>
    <dataValidation type="list" allowBlank="1" showInputMessage="1" showErrorMessage="1" sqref="C13" xr:uid="{00000000-0002-0000-0800-000004000000}">
      <formula1>Regularly</formula1>
    </dataValidation>
    <dataValidation type="list" allowBlank="1" showInputMessage="1" showErrorMessage="1" sqref="C14" xr:uid="{00000000-0002-0000-0800-000005000000}">
      <formula1>money</formula1>
    </dataValidation>
    <dataValidation type="list" allowBlank="1" showInputMessage="1" showErrorMessage="1" sqref="C15" xr:uid="{00000000-0002-0000-0800-000006000000}">
      <formula1>Yesnona</formula1>
    </dataValidation>
    <dataValidation type="date" allowBlank="1" showInputMessage="1" showErrorMessage="1" sqref="C1" xr:uid="{00000000-0002-0000-0800-000007000000}">
      <formula1>43666</formula1>
      <formula2>109939</formula2>
    </dataValidation>
  </dataValidations>
  <hyperlinks>
    <hyperlink ref="F15" r:id="rId1" xr:uid="{00000000-0004-0000-0800-000000000000}"/>
    <hyperlink ref="F5" r:id="rId2" xr:uid="{00000000-0004-0000-0800-000001000000}"/>
    <hyperlink ref="F6" r:id="rId3" xr:uid="{00000000-0004-0000-0800-000002000000}"/>
    <hyperlink ref="F12" r:id="rId4" xr:uid="{00000000-0004-0000-08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55</vt:i4>
      </vt:variant>
    </vt:vector>
  </HeadingPairs>
  <TitlesOfParts>
    <vt:vector size="65" baseType="lpstr">
      <vt:lpstr>Introduction</vt:lpstr>
      <vt:lpstr>Overview</vt:lpstr>
      <vt:lpstr>Worship and prayer</vt:lpstr>
      <vt:lpstr>Home</vt:lpstr>
      <vt:lpstr>Garden</vt:lpstr>
      <vt:lpstr>Travel</vt:lpstr>
      <vt:lpstr>Food</vt:lpstr>
      <vt:lpstr>Possessions</vt:lpstr>
      <vt:lpstr>Community &amp; Global Engagement</vt:lpstr>
      <vt:lpstr>References</vt:lpstr>
      <vt:lpstr>ABCD</vt:lpstr>
      <vt:lpstr>All_of_us__whenever_possible</vt:lpstr>
      <vt:lpstr>All_of_us_whenever_possible</vt:lpstr>
      <vt:lpstr>Allsomenone</vt:lpstr>
      <vt:lpstr>Alwaysmostlyno</vt:lpstr>
      <vt:lpstr>Alwaysmostlysometimes</vt:lpstr>
      <vt:lpstr>bottled_water</vt:lpstr>
      <vt:lpstr>car_fuel</vt:lpstr>
      <vt:lpstr>car_fulel</vt:lpstr>
      <vt:lpstr>car_power</vt:lpstr>
      <vt:lpstr>car_share</vt:lpstr>
      <vt:lpstr>car_use</vt:lpstr>
      <vt:lpstr>carchoice</vt:lpstr>
      <vt:lpstr>carpower</vt:lpstr>
      <vt:lpstr>carshare</vt:lpstr>
      <vt:lpstr>carsperperson</vt:lpstr>
      <vt:lpstr>cat_food</vt:lpstr>
      <vt:lpstr>Compost</vt:lpstr>
      <vt:lpstr>Diet</vt:lpstr>
      <vt:lpstr>Diet_proportions</vt:lpstr>
      <vt:lpstr>doubleglazing</vt:lpstr>
      <vt:lpstr>engage</vt:lpstr>
      <vt:lpstr>engaging</vt:lpstr>
      <vt:lpstr>Everyyear</vt:lpstr>
      <vt:lpstr>flight_class</vt:lpstr>
      <vt:lpstr>flightclass</vt:lpstr>
      <vt:lpstr>Flights_binary</vt:lpstr>
      <vt:lpstr>foodwaste</vt:lpstr>
      <vt:lpstr>Frequency</vt:lpstr>
      <vt:lpstr>Grow_your_own</vt:lpstr>
      <vt:lpstr>HowOften</vt:lpstr>
      <vt:lpstr>Insulation</vt:lpstr>
      <vt:lpstr>lamb</vt:lpstr>
      <vt:lpstr>lights</vt:lpstr>
      <vt:lpstr>mobiles</vt:lpstr>
      <vt:lpstr>money</vt:lpstr>
      <vt:lpstr>Offsetting</vt:lpstr>
      <vt:lpstr>offsetting_revised</vt:lpstr>
      <vt:lpstr>Offsetting2</vt:lpstr>
      <vt:lpstr>Pension</vt:lpstr>
      <vt:lpstr>pet_food</vt:lpstr>
      <vt:lpstr>Pond</vt:lpstr>
      <vt:lpstr>Recycle</vt:lpstr>
      <vt:lpstr>recycling</vt:lpstr>
      <vt:lpstr>Regularly</vt:lpstr>
      <vt:lpstr>Sparerooms</vt:lpstr>
      <vt:lpstr>thermostat</vt:lpstr>
      <vt:lpstr>volunteer</vt:lpstr>
      <vt:lpstr>volunteering</vt:lpstr>
      <vt:lpstr>walls</vt:lpstr>
      <vt:lpstr>washing</vt:lpstr>
      <vt:lpstr>Wheneverpossible</vt:lpstr>
      <vt:lpstr>YesNo</vt:lpstr>
      <vt:lpstr>Yesnona</vt:lpstr>
      <vt:lpstr>Yessomenona</vt:lpstr>
    </vt:vector>
  </TitlesOfParts>
  <Company>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Annabelle South</dc:creator>
  <cp:lastModifiedBy>samsung</cp:lastModifiedBy>
  <dcterms:created xsi:type="dcterms:W3CDTF">2019-06-12T16:57:28Z</dcterms:created>
  <dcterms:modified xsi:type="dcterms:W3CDTF">2019-10-07T15:11:29Z</dcterms:modified>
</cp:coreProperties>
</file>